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BSUP Key documents\04_Technical documents on DTF\06_Business model\"/>
    </mc:Choice>
  </mc:AlternateContent>
  <bookViews>
    <workbookView xWindow="0" yWindow="0" windowWidth="9900" windowHeight="6360" activeTab="1"/>
  </bookViews>
  <sheets>
    <sheet name="Simplified calculation tool" sheetId="6" r:id="rId1"/>
    <sheet name="Calculation Tool" sheetId="5" r:id="rId2"/>
    <sheet name="Detailed O&amp;M costs" sheetId="1" r:id="rId3"/>
  </sheets>
  <externalReferences>
    <externalReference r:id="rId4"/>
  </externalReferences>
  <definedNames>
    <definedName name="CoefAbsMat">'[1]Base de Datos'!$B$4:$H$91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7" i="1" l="1"/>
  <c r="G55" i="5"/>
  <c r="I157" i="1" l="1"/>
  <c r="I156" i="1"/>
  <c r="I155" i="1"/>
  <c r="I151" i="1"/>
  <c r="I150" i="1"/>
  <c r="I149" i="1"/>
  <c r="I142" i="1"/>
  <c r="I141" i="1"/>
  <c r="I140" i="1"/>
  <c r="I132" i="1"/>
  <c r="I134" i="1"/>
  <c r="I133" i="1"/>
  <c r="I122" i="1"/>
  <c r="I121" i="1"/>
  <c r="I120" i="1"/>
  <c r="I112" i="1"/>
  <c r="I111" i="1"/>
  <c r="I110" i="1"/>
  <c r="I106" i="1"/>
  <c r="I105" i="1"/>
  <c r="I104" i="1"/>
  <c r="I101" i="1"/>
  <c r="I100" i="1"/>
  <c r="I99" i="1"/>
  <c r="I93" i="1"/>
  <c r="I92" i="1"/>
  <c r="I91" i="1"/>
  <c r="I86" i="1"/>
  <c r="I85" i="1"/>
  <c r="I84" i="1"/>
  <c r="I78" i="1"/>
  <c r="I77" i="1"/>
  <c r="I76" i="1"/>
  <c r="I67" i="1"/>
  <c r="I66" i="1"/>
  <c r="I65" i="1"/>
  <c r="I64" i="1"/>
  <c r="I52" i="1"/>
  <c r="I51" i="1"/>
  <c r="I50" i="1"/>
  <c r="I41" i="1"/>
  <c r="I40" i="1"/>
  <c r="I39" i="1"/>
  <c r="I32" i="1"/>
  <c r="I31" i="1"/>
  <c r="I30" i="1"/>
  <c r="I24" i="1"/>
  <c r="I23" i="1"/>
  <c r="I22" i="1"/>
  <c r="I12" i="1"/>
  <c r="I11" i="1"/>
  <c r="I10" i="1"/>
  <c r="G38" i="1" l="1"/>
  <c r="G37" i="1"/>
  <c r="I158" i="1"/>
  <c r="I160" i="1" s="1"/>
  <c r="H51" i="5" s="1"/>
  <c r="H154" i="1"/>
  <c r="H130" i="1"/>
  <c r="H9" i="1"/>
  <c r="H8" i="1"/>
  <c r="G21" i="1"/>
  <c r="G20" i="1"/>
  <c r="G19" i="1"/>
  <c r="G18" i="1"/>
  <c r="G17" i="1"/>
  <c r="G16" i="1"/>
  <c r="G15" i="1"/>
  <c r="G8" i="1" l="1"/>
  <c r="G130" i="1" s="1"/>
  <c r="G9" i="1"/>
  <c r="G26" i="1"/>
  <c r="G27" i="1"/>
  <c r="G28" i="1"/>
  <c r="G29" i="1"/>
  <c r="G34" i="1"/>
  <c r="G35" i="1"/>
  <c r="G36" i="1"/>
  <c r="G43" i="1"/>
  <c r="G44" i="1"/>
  <c r="G45" i="1"/>
  <c r="G46" i="1"/>
  <c r="G47" i="1"/>
  <c r="G48" i="1"/>
  <c r="G49" i="1"/>
  <c r="G54" i="1"/>
  <c r="G55" i="1"/>
  <c r="G56" i="1"/>
  <c r="G57" i="1"/>
  <c r="G58" i="1"/>
  <c r="G59" i="1"/>
  <c r="G60" i="1"/>
  <c r="G61" i="1"/>
  <c r="G62" i="1"/>
  <c r="G69" i="1"/>
  <c r="G70" i="1"/>
  <c r="G72" i="1"/>
  <c r="G73" i="1"/>
  <c r="G74" i="1"/>
  <c r="G75" i="1"/>
  <c r="G82" i="1"/>
  <c r="G115" i="1"/>
  <c r="G116" i="1"/>
  <c r="G118" i="1"/>
  <c r="G119" i="1"/>
  <c r="G137" i="1"/>
  <c r="I139" i="1" l="1"/>
  <c r="I131" i="1" l="1"/>
  <c r="I127" i="1"/>
  <c r="H32" i="5"/>
  <c r="I130" i="1" l="1"/>
  <c r="H148" i="1"/>
  <c r="I148" i="1" s="1"/>
  <c r="I147" i="1"/>
  <c r="I154" i="1"/>
  <c r="I29" i="1"/>
  <c r="H73" i="1" l="1"/>
  <c r="I74" i="1"/>
  <c r="I75" i="1"/>
  <c r="I73" i="1" l="1"/>
  <c r="G42" i="5" l="1"/>
  <c r="G48" i="5"/>
  <c r="H48" i="5" s="1"/>
  <c r="H55" i="5"/>
  <c r="G45" i="5"/>
  <c r="G44" i="5"/>
  <c r="H44" i="5" s="1"/>
  <c r="G35" i="5"/>
  <c r="F6" i="5"/>
  <c r="F35" i="5" s="1"/>
  <c r="H56" i="5" l="1"/>
  <c r="K25" i="6" s="1"/>
  <c r="H45" i="5"/>
  <c r="F30" i="6" s="1"/>
  <c r="G12" i="5"/>
  <c r="G11" i="5"/>
  <c r="F11" i="5"/>
  <c r="H36" i="5" l="1"/>
  <c r="H33" i="5"/>
  <c r="F15" i="6" s="1"/>
  <c r="H11" i="5"/>
  <c r="H6" i="5"/>
  <c r="H49" i="5"/>
  <c r="K24" i="6" s="1"/>
  <c r="H42" i="5"/>
  <c r="F26" i="6" s="1"/>
  <c r="H35" i="5"/>
  <c r="F18" i="6" s="1"/>
  <c r="I135" i="1" s="1"/>
  <c r="H37" i="5" s="1"/>
  <c r="K21" i="6" s="1"/>
  <c r="H12" i="5"/>
  <c r="I152" i="1" l="1"/>
  <c r="H46" i="5" s="1"/>
  <c r="K23" i="6" s="1"/>
  <c r="F28" i="6"/>
  <c r="I145" i="1" l="1"/>
  <c r="H138" i="1"/>
  <c r="I138" i="1" s="1"/>
  <c r="I137" i="1"/>
  <c r="I143" i="1" s="1"/>
  <c r="I119" i="1"/>
  <c r="I118" i="1"/>
  <c r="I117" i="1"/>
  <c r="I116" i="1"/>
  <c r="I115" i="1"/>
  <c r="I114" i="1"/>
  <c r="I109" i="1"/>
  <c r="I108" i="1"/>
  <c r="I113" i="1" s="1"/>
  <c r="F103" i="1"/>
  <c r="I103" i="1" s="1"/>
  <c r="I98" i="1"/>
  <c r="I97" i="1"/>
  <c r="I96" i="1"/>
  <c r="I95" i="1"/>
  <c r="I90" i="1"/>
  <c r="I89" i="1"/>
  <c r="I88" i="1"/>
  <c r="I83" i="1"/>
  <c r="I82" i="1"/>
  <c r="I72" i="1"/>
  <c r="I71" i="1"/>
  <c r="I70" i="1"/>
  <c r="I69" i="1"/>
  <c r="I54" i="1"/>
  <c r="I55" i="1"/>
  <c r="I56" i="1"/>
  <c r="I57" i="1"/>
  <c r="I63" i="1"/>
  <c r="I62" i="1"/>
  <c r="I61" i="1"/>
  <c r="I60" i="1"/>
  <c r="I59" i="1"/>
  <c r="I58" i="1"/>
  <c r="I49" i="1"/>
  <c r="I48" i="1"/>
  <c r="I47" i="1"/>
  <c r="I46" i="1"/>
  <c r="I45" i="1"/>
  <c r="I44" i="1"/>
  <c r="I43" i="1"/>
  <c r="I38" i="1"/>
  <c r="I37" i="1"/>
  <c r="I35" i="1"/>
  <c r="I34" i="1"/>
  <c r="I28" i="1"/>
  <c r="I27" i="1"/>
  <c r="I26" i="1"/>
  <c r="I17" i="1"/>
  <c r="I18" i="1"/>
  <c r="I19" i="1"/>
  <c r="I20" i="1"/>
  <c r="I21" i="1"/>
  <c r="I16" i="1"/>
  <c r="I15" i="1"/>
  <c r="I9" i="1"/>
  <c r="I8" i="1"/>
  <c r="I128" i="1"/>
  <c r="I68" i="1" l="1"/>
  <c r="I94" i="1"/>
  <c r="G39" i="5"/>
  <c r="H39" i="5" s="1"/>
  <c r="H40" i="5"/>
  <c r="K22" i="6" s="1"/>
  <c r="I25" i="1"/>
  <c r="I102" i="1"/>
  <c r="G26" i="5"/>
  <c r="H26" i="5" s="1"/>
  <c r="I107" i="1"/>
  <c r="I53" i="1"/>
  <c r="I33" i="1"/>
  <c r="I79" i="1"/>
  <c r="I87" i="1"/>
  <c r="I123" i="1"/>
  <c r="I13" i="1"/>
  <c r="H13" i="5" s="1"/>
  <c r="K18" i="6" s="1"/>
  <c r="H18" i="5"/>
  <c r="H19" i="5"/>
  <c r="H16" i="5"/>
  <c r="H20" i="5"/>
  <c r="G23" i="5"/>
  <c r="H23" i="5" s="1"/>
  <c r="G28" i="5"/>
  <c r="H28" i="5" s="1"/>
  <c r="G25" i="5"/>
  <c r="H25" i="5" s="1"/>
  <c r="G24" i="5"/>
  <c r="H24" i="5" s="1"/>
  <c r="G27" i="5"/>
  <c r="H27" i="5" s="1"/>
  <c r="I36" i="1"/>
  <c r="I42" i="1" s="1"/>
  <c r="I124" i="1" l="1"/>
  <c r="H29" i="5" s="1"/>
  <c r="K20" i="6" s="1"/>
  <c r="I80" i="1"/>
  <c r="H15" i="5"/>
  <c r="H17" i="5"/>
  <c r="H60" i="5" l="1"/>
  <c r="H21" i="5"/>
  <c r="K19" i="6" s="1"/>
  <c r="F65" i="5" l="1"/>
  <c r="H65" i="5" s="1"/>
  <c r="F69" i="5" l="1"/>
  <c r="H69" i="5" s="1"/>
  <c r="K13" i="6" s="1"/>
  <c r="F68" i="5"/>
  <c r="H68" i="5" s="1"/>
  <c r="J13" i="6" s="1"/>
  <c r="F67" i="5"/>
  <c r="H67" i="5" s="1"/>
  <c r="I13" i="6" s="1"/>
</calcChain>
</file>

<file path=xl/sharedStrings.xml><?xml version="1.0" encoding="utf-8"?>
<sst xmlns="http://schemas.openxmlformats.org/spreadsheetml/2006/main" count="433" uniqueCount="254">
  <si>
    <t>KWh</t>
  </si>
  <si>
    <t>A1</t>
  </si>
  <si>
    <t>m3</t>
  </si>
  <si>
    <t>Description</t>
  </si>
  <si>
    <t>ID</t>
  </si>
  <si>
    <t>Plant operator</t>
  </si>
  <si>
    <t>Licenses</t>
  </si>
  <si>
    <t>Labour costs</t>
  </si>
  <si>
    <t>Security services</t>
  </si>
  <si>
    <t>Qty</t>
  </si>
  <si>
    <t>Frequency/year</t>
  </si>
  <si>
    <t>Replacement of Equipment</t>
  </si>
  <si>
    <t>Overall</t>
  </si>
  <si>
    <t>Apron</t>
  </si>
  <si>
    <t>Gumboots</t>
  </si>
  <si>
    <t>Rubber gloves</t>
  </si>
  <si>
    <t>Safety googles</t>
  </si>
  <si>
    <t>Respiratory mask</t>
  </si>
  <si>
    <t>Protective helmet</t>
  </si>
  <si>
    <t>Security gear</t>
  </si>
  <si>
    <t>Harness and safety rope</t>
  </si>
  <si>
    <t>First aid kit</t>
  </si>
  <si>
    <t>Fire extinguisher</t>
  </si>
  <si>
    <t>O&amp;M tools</t>
  </si>
  <si>
    <t>High pressure washer</t>
  </si>
  <si>
    <t>Extension lead</t>
  </si>
  <si>
    <t>Cover lifter</t>
  </si>
  <si>
    <t>Skimmer</t>
  </si>
  <si>
    <t>Ladder</t>
  </si>
  <si>
    <t>Cleaning and gardening tool</t>
  </si>
  <si>
    <t>Rake</t>
  </si>
  <si>
    <t>Spade</t>
  </si>
  <si>
    <t>Panga</t>
  </si>
  <si>
    <t>Steel bucket</t>
  </si>
  <si>
    <t>Wheelbarrow</t>
  </si>
  <si>
    <t>Stiff broom</t>
  </si>
  <si>
    <t xml:space="preserve">Mop </t>
  </si>
  <si>
    <t>Beaker glass (250 mL)</t>
  </si>
  <si>
    <t>Sampling plastic bottle (1000 mL)</t>
  </si>
  <si>
    <t>Sludge judge + brush</t>
  </si>
  <si>
    <t>Sampling rode + sampler extra cup</t>
  </si>
  <si>
    <t>Mercury thermometer</t>
  </si>
  <si>
    <t>Dissolved Oxygen meter</t>
  </si>
  <si>
    <t>Wash bottle</t>
  </si>
  <si>
    <t>pH strips box</t>
  </si>
  <si>
    <t>Lab coat</t>
  </si>
  <si>
    <t>Non-latex gloves box</t>
  </si>
  <si>
    <t>DTF parts</t>
  </si>
  <si>
    <t>Butterfly valve</t>
  </si>
  <si>
    <t>Ballcock valve</t>
  </si>
  <si>
    <t>Filter media for VFCW and SDB</t>
  </si>
  <si>
    <t>Purchase of Consumables</t>
  </si>
  <si>
    <t>Electrical items</t>
  </si>
  <si>
    <t>Light bulbs (LED)</t>
  </si>
  <si>
    <t>Batteries</t>
  </si>
  <si>
    <t>Cleaning products</t>
  </si>
  <si>
    <t>Anti-bacterial soap</t>
  </si>
  <si>
    <t>Floor detergent</t>
  </si>
  <si>
    <t>Bleach</t>
  </si>
  <si>
    <t>Paint &amp; others</t>
  </si>
  <si>
    <t>Universal undercoat (4L)</t>
  </si>
  <si>
    <t>Thiner (4L)</t>
  </si>
  <si>
    <t>Gloss paint (4L)</t>
  </si>
  <si>
    <t>Sand paper (corrosion control)</t>
  </si>
  <si>
    <t>Combustible material</t>
  </si>
  <si>
    <t>Wood or charcoal (for weekly incineration of 50kg of solid waste)</t>
  </si>
  <si>
    <t>Laboratory consummables</t>
  </si>
  <si>
    <t>Solvent and dionized water to clean the glassware</t>
  </si>
  <si>
    <t>Office supplies</t>
  </si>
  <si>
    <t>Paper ram for forms (80 sheets)</t>
  </si>
  <si>
    <t>Punching machine</t>
  </si>
  <si>
    <t>Folders</t>
  </si>
  <si>
    <t>Pens</t>
  </si>
  <si>
    <t>Stamp &amp; ink</t>
  </si>
  <si>
    <t>Cissors</t>
  </si>
  <si>
    <t>Energy and Water costs</t>
  </si>
  <si>
    <t>DTF infrastructure</t>
  </si>
  <si>
    <t>Fence (1 roll of chain link)</t>
  </si>
  <si>
    <t>repairs of walls and slab: 1t. Cement, 1t aggregate, 5 bags cement</t>
  </si>
  <si>
    <t>Labour</t>
  </si>
  <si>
    <t>Repairs</t>
  </si>
  <si>
    <t>Exhausting services</t>
  </si>
  <si>
    <t>Desludging of the Settler and ABR</t>
  </si>
  <si>
    <t>Laboratory services</t>
  </si>
  <si>
    <t>Unit Price [KES]</t>
  </si>
  <si>
    <t>TOTAL annual O&amp;M costs [KES]</t>
  </si>
  <si>
    <t>Annual OM Costs [KES]</t>
  </si>
  <si>
    <t>Medium</t>
  </si>
  <si>
    <t>Large</t>
  </si>
  <si>
    <t>Small</t>
  </si>
  <si>
    <t>Tariff per truck load</t>
  </si>
  <si>
    <t>Min. Fee [KES] to cover annual costs</t>
  </si>
  <si>
    <t>Grid connection</t>
  </si>
  <si>
    <t>Solar Power feed</t>
  </si>
  <si>
    <t>Water delivery</t>
  </si>
  <si>
    <t>Internal Laboratory</t>
  </si>
  <si>
    <t>External Laboratory</t>
  </si>
  <si>
    <t>Discharging Tariff Simplified Calculation Sheet</t>
  </si>
  <si>
    <t>Total Fee [KES]</t>
  </si>
  <si>
    <t>Tariffs</t>
  </si>
  <si>
    <t>Truck Size</t>
  </si>
  <si>
    <t>Total Fee</t>
  </si>
  <si>
    <t>How many days per year is the DTF operational?</t>
  </si>
  <si>
    <t>How does the DTF get its electricity?</t>
  </si>
  <si>
    <t>How does the DTF get its water?</t>
  </si>
  <si>
    <t>What laboratory is used for the quaterly test of the DTF effluent?</t>
  </si>
  <si>
    <t>What is the annual cost for certification and permits related to the operation of a DTF?</t>
  </si>
  <si>
    <t>If effluent quality test is done by an external laboratory: what is the cost of a set of chemical and bacteriological test?</t>
  </si>
  <si>
    <t>What is the total cost invested for the construction and the full operationalisation of a DTF?</t>
  </si>
  <si>
    <t>If effluent quality test is done by an internal laboratory: what is the cost of a set of chemical and bacteriological test?</t>
  </si>
  <si>
    <t>1.</t>
  </si>
  <si>
    <t>2.</t>
  </si>
  <si>
    <t>3.</t>
  </si>
  <si>
    <t>4.</t>
  </si>
  <si>
    <t>5.</t>
  </si>
  <si>
    <t>6.</t>
  </si>
  <si>
    <t>7.</t>
  </si>
  <si>
    <t>8.</t>
  </si>
  <si>
    <t>9.</t>
  </si>
  <si>
    <t>Annual volume of wastewater treated in the DTF</t>
  </si>
  <si>
    <t>B1</t>
  </si>
  <si>
    <t>B1.1</t>
  </si>
  <si>
    <t>B1.2</t>
  </si>
  <si>
    <t>B2</t>
  </si>
  <si>
    <t>B2.1</t>
  </si>
  <si>
    <t>B2.2</t>
  </si>
  <si>
    <t>B2.3</t>
  </si>
  <si>
    <t>B2.4</t>
  </si>
  <si>
    <t>B2.5</t>
  </si>
  <si>
    <t>B2.6</t>
  </si>
  <si>
    <t>B3</t>
  </si>
  <si>
    <t>B3.1</t>
  </si>
  <si>
    <t>B3.2</t>
  </si>
  <si>
    <t>B3.3</t>
  </si>
  <si>
    <t>B3.4</t>
  </si>
  <si>
    <t>B3.5</t>
  </si>
  <si>
    <t>B3.6</t>
  </si>
  <si>
    <t>B4</t>
  </si>
  <si>
    <t>B5</t>
  </si>
  <si>
    <t>B5.1</t>
  </si>
  <si>
    <t>B6</t>
  </si>
  <si>
    <t>B6.1</t>
  </si>
  <si>
    <t>B6.2</t>
  </si>
  <si>
    <t>B7</t>
  </si>
  <si>
    <t>B7.1</t>
  </si>
  <si>
    <t>C.1</t>
  </si>
  <si>
    <t>E1</t>
  </si>
  <si>
    <t>E2</t>
  </si>
  <si>
    <t>E2.1</t>
  </si>
  <si>
    <t>E2.2</t>
  </si>
  <si>
    <t>E2.3</t>
  </si>
  <si>
    <t>Solar panels</t>
  </si>
  <si>
    <t>Battery and inverter for solar</t>
  </si>
  <si>
    <t>Charge controller for solar</t>
  </si>
  <si>
    <t>NEMA certificate and other permits</t>
  </si>
  <si>
    <t>ls</t>
  </si>
  <si>
    <t>Total annual cost [KES]</t>
  </si>
  <si>
    <t>E1.1</t>
  </si>
  <si>
    <t>Detailed costs for Operation and Maintenance</t>
  </si>
  <si>
    <t>item</t>
  </si>
  <si>
    <t>nr</t>
  </si>
  <si>
    <t>Flash light</t>
  </si>
  <si>
    <t>Exhausting services for desludging of Settler and ABR</t>
  </si>
  <si>
    <t>B. Annual operation &amp; maintenance costs</t>
  </si>
  <si>
    <t xml:space="preserve">A. General data </t>
  </si>
  <si>
    <t>C. Investment costs</t>
  </si>
  <si>
    <t>D. Overall annual costs</t>
  </si>
  <si>
    <t>E. Discharging tariffs</t>
  </si>
  <si>
    <t>Total annual costs [KES]</t>
  </si>
  <si>
    <t>Operational days</t>
  </si>
  <si>
    <t>B. DTF annual operation &amp; maintenance costs</t>
  </si>
  <si>
    <t>Item</t>
  </si>
  <si>
    <t>B4.1</t>
  </si>
  <si>
    <t>B4.2</t>
  </si>
  <si>
    <t>Electricity supply</t>
  </si>
  <si>
    <t>Water supply</t>
  </si>
  <si>
    <t>Unit</t>
  </si>
  <si>
    <t>Material and labour needed to repair DTF infrastructure</t>
  </si>
  <si>
    <t>kWh</t>
  </si>
  <si>
    <t>Services</t>
  </si>
  <si>
    <t>Electricity supply: ligthing of 2 rooms + 2 security light + 3 electrical sockets + instant shower (around 50kWh)</t>
  </si>
  <si>
    <t>Laboratory services: testing of sample for BOD, COD, TSS, Nitrogen, Phosphorus, Coliforms, etc.</t>
  </si>
  <si>
    <t>Solar power</t>
  </si>
  <si>
    <t xml:space="preserve">Supply of 40L of fresh water daily </t>
  </si>
  <si>
    <t>Connection to the water supply network</t>
  </si>
  <si>
    <t>days</t>
  </si>
  <si>
    <t>NEMA discharging license</t>
  </si>
  <si>
    <t>B2.1 PPE SUBTOTAL</t>
  </si>
  <si>
    <t>B2.2 Security gear SUBTOTAL</t>
  </si>
  <si>
    <t>B2.3 O&amp;M Tools SUBTOTAL</t>
  </si>
  <si>
    <t>B2.4 Cleaning and gardening tools SUBTOTAL</t>
  </si>
  <si>
    <t>B2.6 DTF parts SUBTOTAL</t>
  </si>
  <si>
    <t>Daily capacity [m³]</t>
  </si>
  <si>
    <t>Total annual volume [m³]</t>
  </si>
  <si>
    <t>Tariff per m³</t>
  </si>
  <si>
    <t>Discharge fee applied to each m³</t>
  </si>
  <si>
    <t>Applied fee applied to large truck (15-20 m³)</t>
  </si>
  <si>
    <t>B1 Labour costs SUBTOTAL</t>
  </si>
  <si>
    <t>B2.5 Laboratory equipment SUBTOTAL</t>
  </si>
  <si>
    <t>Laboratory equipement</t>
  </si>
  <si>
    <t>B3.1 Electrical items SUBTOTAL</t>
  </si>
  <si>
    <t>B3.2 Cleaning product SUBTOTAL</t>
  </si>
  <si>
    <t>B3.3 Paint &amp; others SUBTOTAL</t>
  </si>
  <si>
    <t>B3.4 Combustible material SUBTOTAL</t>
  </si>
  <si>
    <t>B3.5 Laboratory consummables SUBTOTAL</t>
  </si>
  <si>
    <t>B3.6 Office supplies SUBTOTAL</t>
  </si>
  <si>
    <t>B.4 Energy and Water costs SUBTOTAL</t>
  </si>
  <si>
    <t>B.6 Services SUBTOTAL</t>
  </si>
  <si>
    <t>B.7 Licenses SUBTOTAL</t>
  </si>
  <si>
    <t>What is the daily cost allocated for the operator(s)'s wage?</t>
  </si>
  <si>
    <t>What is the daily cost allocated for security (night/day guard)?</t>
  </si>
  <si>
    <t>B6. Services SUBTOTAL</t>
  </si>
  <si>
    <t>B7. Licenses SUBTOTAL</t>
  </si>
  <si>
    <t>Laboratory equipment</t>
  </si>
  <si>
    <t xml:space="preserve">Discharging Tariff Calculation Sheet </t>
  </si>
  <si>
    <t>Answer all nine questions (twelve fields to be filled out) - Discharging tariff will be generated automatically</t>
  </si>
  <si>
    <t>Replacement of equipment</t>
  </si>
  <si>
    <t>Purchase of consummables</t>
  </si>
  <si>
    <t>Water and Electricity</t>
  </si>
  <si>
    <t xml:space="preserve">Labour </t>
  </si>
  <si>
    <t>B1. Labour SUBTOTAL</t>
  </si>
  <si>
    <t>Water and electricity</t>
  </si>
  <si>
    <t>B4. Water and electricity SUBTOTAL</t>
  </si>
  <si>
    <t>Consumables</t>
  </si>
  <si>
    <t>Capital recovery cost</t>
  </si>
  <si>
    <t>Annual cost [KES]</t>
  </si>
  <si>
    <t>External services</t>
  </si>
  <si>
    <t>Read only
All results from this sheet are generated with the data from the other sheets - DO NOT EDIT DATA ON THIS CALCULATION SHEET
If editing is required go to the next sheet - Detailed O&amp;M costs</t>
  </si>
  <si>
    <t>Editing of operation and maintenance costs is permitted in this sheet
All additions or corrections will be reflected in the tariff displayed in the two other calculation sheets
The cells highlighted in yellow (linked with the answers from the simplified calculation tool) as well as all formulas are protected and therefore cannot be edited</t>
  </si>
  <si>
    <t>How much does the desludging service of a DTF cost?</t>
  </si>
  <si>
    <t>(*) ls = lump sum</t>
  </si>
  <si>
    <t>(*)ls</t>
  </si>
  <si>
    <t>Personal Protective Equipment</t>
  </si>
  <si>
    <t>Water delivery through water bowser</t>
  </si>
  <si>
    <t>If water delivered by water bowser: how much is a single trip to the DTF (to fill the 500L tank)?</t>
  </si>
  <si>
    <t xml:space="preserve">Protective mesh </t>
  </si>
  <si>
    <t>Markers</t>
  </si>
  <si>
    <t xml:space="preserve"> </t>
  </si>
  <si>
    <t>Cost recovery margin</t>
  </si>
  <si>
    <t>Average economic life time</t>
  </si>
  <si>
    <t>Average replacement cost</t>
  </si>
  <si>
    <t>Total investment costs [KES]</t>
  </si>
  <si>
    <t>Average replacement costs [KES]</t>
  </si>
  <si>
    <t>Applied fee applied to small truck (5-9 m³)</t>
  </si>
  <si>
    <t>Applied fee applied to medium truck (10-14 m³)</t>
  </si>
  <si>
    <t>B. Annual O&amp;M costs [KES]</t>
  </si>
  <si>
    <t>C. Annual average replacement costs for a DTF [KES]</t>
  </si>
  <si>
    <t>D. Annual DTF overall costs [KES]</t>
  </si>
  <si>
    <t>B2. Replacement of equipment SUBTOTAL (5% contingencies included)</t>
  </si>
  <si>
    <t>B3. Consumables SUBTOTAL (5% contingencies included)</t>
  </si>
  <si>
    <t>B2 Replacement of Equipment SUBTOTAL (5% contingencies included)</t>
  </si>
  <si>
    <t>B.3 Purchase of Consumables SUBTOTAL (5% contingencies included)</t>
  </si>
  <si>
    <t>B.5 Repairs SUBTOTAL (5% contingencies included)</t>
  </si>
  <si>
    <t>B5. Repairs SUBTOTAL (5% contingencies included)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</si>
</sst>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64" formatCode="_-* #,##0.00\ _€_-;\-* #,##0.00\ _€_-;_-* &quot;-&quot;??\ _€_-;_-@_-"/>
    <numFmt numFmtId="165" formatCode="_-* #,##0.00_-;\-* #,##0.00_-;_-* &quot;-&quot;??_-;_-@_-"/>
    <numFmt numFmtId="166" formatCode="_-* #,##0\ _€_-;\-* #,##0\ _€_-;_-* &quot;-&quot;??\ _€_-;_-@_-"/>
    <numFmt numFmtId="167" formatCode="#,##0\ [$KES]"/>
    <numFmt numFmtId="168" formatCode="_-* #,##0_-;\-* #,##0_-;_-* &quot;-&quot;??_-;_-@_-"/>
    <numFmt numFmtId="169" formatCode="0.0"/>
    <numFmt numFmtId="170" formatCode="_-* #,##0.0\ _€_-;\-* #,##0.0\ _€_-;_-* &quot;-&quot;??\ _€_-;_-@_-"/>
    <numFmt numFmtId="171" formatCode="_(* #,##0_);_(* \(#,##0\);_(* &quot;-&quot;??_);_(@_)"/>
  </numFmts>
  <fonts count="19" x14ac:knownFonts="1">
    <font>
      <sz val="11"/>
      <color theme="1"/>
      <name val="Calibri"/>
      <family val="2"/>
      <scheme val="minor"/>
    </font>
    <font>
      <sz val="16"/>
      <color theme="1"/>
      <name val="Calibri"/>
      <family val="2"/>
      <scheme val="minor"/>
    </font>
    <font>
      <b/>
      <sz val="11"/>
      <color theme="1"/>
      <name val="Calibri"/>
      <family val="2"/>
      <scheme val="minor"/>
    </font>
    <font>
      <sz val="11"/>
      <color rgb="FF002060"/>
      <name val="Calibri"/>
      <family val="2"/>
      <scheme val="minor"/>
    </font>
    <font>
      <i/>
      <sz val="11"/>
      <color theme="1"/>
      <name val="Calibri"/>
      <family val="2"/>
      <scheme val="minor"/>
    </font>
    <font>
      <sz val="11"/>
      <name val="Calibri"/>
      <family val="2"/>
      <scheme val="minor"/>
    </font>
    <font>
      <sz val="11"/>
      <color theme="1"/>
      <name val="Calibri"/>
      <family val="2"/>
      <scheme val="minor"/>
    </font>
    <font>
      <b/>
      <i/>
      <sz val="11"/>
      <color theme="1"/>
      <name val="Calibri"/>
      <family val="2"/>
      <scheme val="minor"/>
    </font>
    <font>
      <b/>
      <sz val="16"/>
      <color theme="1"/>
      <name val="Calibri"/>
      <family val="2"/>
      <scheme val="minor"/>
    </font>
    <font>
      <i/>
      <sz val="10"/>
      <color theme="1"/>
      <name val="Calibri"/>
      <family val="2"/>
      <scheme val="minor"/>
    </font>
    <font>
      <b/>
      <sz val="12"/>
      <color theme="1"/>
      <name val="Arial Black"/>
      <family val="2"/>
    </font>
    <font>
      <b/>
      <sz val="10"/>
      <color theme="1"/>
      <name val="Arial Black"/>
      <family val="2"/>
    </font>
    <font>
      <sz val="10"/>
      <color theme="1"/>
      <name val="Arial Black"/>
      <family val="2"/>
    </font>
    <font>
      <b/>
      <sz val="11"/>
      <color rgb="FF002060"/>
      <name val="Calibri"/>
      <family val="2"/>
      <scheme val="minor"/>
    </font>
    <font>
      <b/>
      <sz val="12"/>
      <color rgb="FF002060"/>
      <name val="Calibri"/>
      <family val="2"/>
      <scheme val="minor"/>
    </font>
    <font>
      <i/>
      <sz val="11"/>
      <color rgb="FFFF0000"/>
      <name val="Calibri"/>
      <family val="2"/>
      <scheme val="minor"/>
    </font>
    <font>
      <b/>
      <sz val="10"/>
      <color theme="1"/>
      <name val="Calibri"/>
      <family val="2"/>
      <scheme val="minor"/>
    </font>
    <font>
      <sz val="9"/>
      <color theme="1"/>
      <name val="Arial Black"/>
      <family val="2"/>
    </font>
    <font>
      <sz val="8"/>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FF00"/>
        <bgColor indexed="64"/>
      </patternFill>
    </fill>
  </fills>
  <borders count="58">
    <border>
      <left/>
      <right/>
      <top/>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ashed">
        <color auto="1"/>
      </left>
      <right style="dashed">
        <color auto="1"/>
      </right>
      <top style="dashed">
        <color auto="1"/>
      </top>
      <bottom style="dashed">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auto="1"/>
      </right>
      <top style="thin">
        <color indexed="64"/>
      </top>
      <bottom style="dotted">
        <color auto="1"/>
      </bottom>
      <diagonal/>
    </border>
    <border>
      <left style="dotted">
        <color auto="1"/>
      </left>
      <right style="dotted">
        <color auto="1"/>
      </right>
      <top style="thin">
        <color indexed="64"/>
      </top>
      <bottom style="dotted">
        <color auto="1"/>
      </bottom>
      <diagonal/>
    </border>
    <border>
      <left style="dotted">
        <color auto="1"/>
      </left>
      <right style="thin">
        <color indexed="64"/>
      </right>
      <top style="thin">
        <color indexed="64"/>
      </top>
      <bottom style="dotted">
        <color auto="1"/>
      </bottom>
      <diagonal/>
    </border>
    <border>
      <left style="thin">
        <color indexed="64"/>
      </left>
      <right style="dotted">
        <color auto="1"/>
      </right>
      <top style="dotted">
        <color auto="1"/>
      </top>
      <bottom style="dotted">
        <color auto="1"/>
      </bottom>
      <diagonal/>
    </border>
    <border>
      <left/>
      <right style="thin">
        <color indexed="64"/>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right style="dotted">
        <color auto="1"/>
      </right>
      <top style="dotted">
        <color auto="1"/>
      </top>
      <bottom style="thin">
        <color indexed="64"/>
      </bottom>
      <diagonal/>
    </border>
    <border>
      <left style="dotted">
        <color auto="1"/>
      </left>
      <right style="thin">
        <color indexed="64"/>
      </right>
      <top style="dotted">
        <color auto="1"/>
      </top>
      <bottom style="thin">
        <color indexed="64"/>
      </bottom>
      <diagonal/>
    </border>
    <border>
      <left style="dotted">
        <color auto="1"/>
      </left>
      <right style="thin">
        <color indexed="64"/>
      </right>
      <top style="dotted">
        <color auto="1"/>
      </top>
      <bottom style="dotted">
        <color auto="1"/>
      </bottom>
      <diagonal/>
    </border>
    <border>
      <left style="thin">
        <color indexed="64"/>
      </left>
      <right/>
      <top style="dotted">
        <color auto="1"/>
      </top>
      <bottom style="dotted">
        <color auto="1"/>
      </bottom>
      <diagonal/>
    </border>
    <border>
      <left style="thin">
        <color indexed="64"/>
      </left>
      <right/>
      <top style="dotted">
        <color auto="1"/>
      </top>
      <bottom style="thin">
        <color indexed="64"/>
      </bottom>
      <diagonal/>
    </border>
    <border>
      <left/>
      <right/>
      <top style="dotted">
        <color auto="1"/>
      </top>
      <bottom style="thin">
        <color indexed="64"/>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dotted">
        <color auto="1"/>
      </left>
      <right/>
      <top style="dotted">
        <color auto="1"/>
      </top>
      <bottom style="thin">
        <color indexed="64"/>
      </bottom>
      <diagonal/>
    </border>
    <border>
      <left/>
      <right/>
      <top style="thin">
        <color indexed="64"/>
      </top>
      <bottom style="dotted">
        <color auto="1"/>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auto="1"/>
      </right>
      <top style="dashed">
        <color indexed="64"/>
      </top>
      <bottom style="thin">
        <color indexed="64"/>
      </bottom>
      <diagonal/>
    </border>
    <border>
      <left style="thin">
        <color indexed="64"/>
      </left>
      <right/>
      <top style="dotted">
        <color auto="1"/>
      </top>
      <bottom/>
      <diagonal/>
    </border>
    <border>
      <left/>
      <right/>
      <top style="dotted">
        <color auto="1"/>
      </top>
      <bottom/>
      <diagonal/>
    </border>
    <border>
      <left/>
      <right style="thin">
        <color indexed="64"/>
      </right>
      <top style="dotted">
        <color auto="1"/>
      </top>
      <bottom/>
      <diagonal/>
    </border>
    <border>
      <left style="dashed">
        <color auto="1"/>
      </left>
      <right style="thin">
        <color auto="1"/>
      </right>
      <top style="dashed">
        <color auto="1"/>
      </top>
      <bottom style="dashed">
        <color auto="1"/>
      </bottom>
      <diagonal/>
    </border>
    <border>
      <left style="dashed">
        <color auto="1"/>
      </left>
      <right style="thin">
        <color auto="1"/>
      </right>
      <top style="dashed">
        <color auto="1"/>
      </top>
      <bottom style="thin">
        <color auto="1"/>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s>
  <cellStyleXfs count="2">
    <xf numFmtId="0" fontId="0" fillId="0" borderId="0"/>
    <xf numFmtId="165" fontId="6" fillId="0" borderId="0" applyFont="0" applyFill="0" applyBorder="0" applyAlignment="0" applyProtection="0"/>
  </cellStyleXfs>
  <cellXfs count="249">
    <xf numFmtId="0" fontId="0" fillId="0" borderId="0" xfId="0"/>
    <xf numFmtId="0" fontId="1" fillId="0" borderId="0" xfId="0" applyFont="1" applyProtection="1">
      <protection locked="0"/>
    </xf>
    <xf numFmtId="0" fontId="0" fillId="0" borderId="0" xfId="0" applyProtection="1">
      <protection locked="0"/>
    </xf>
    <xf numFmtId="0" fontId="0" fillId="0" borderId="1" xfId="0" applyFont="1" applyFill="1" applyBorder="1" applyProtection="1">
      <protection locked="0"/>
    </xf>
    <xf numFmtId="0" fontId="0" fillId="0" borderId="1" xfId="0" applyFill="1" applyBorder="1" applyProtection="1">
      <protection locked="0"/>
    </xf>
    <xf numFmtId="0" fontId="0" fillId="0" borderId="1" xfId="0" applyFill="1" applyBorder="1" applyAlignment="1" applyProtection="1">
      <alignment horizontal="right"/>
      <protection locked="0"/>
    </xf>
    <xf numFmtId="3" fontId="0" fillId="0" borderId="1" xfId="0" applyNumberFormat="1" applyFill="1" applyBorder="1" applyProtection="1">
      <protection locked="0"/>
    </xf>
    <xf numFmtId="3" fontId="0" fillId="0" borderId="1" xfId="0" applyNumberFormat="1" applyFont="1" applyFill="1" applyBorder="1" applyProtection="1">
      <protection locked="0"/>
    </xf>
    <xf numFmtId="0" fontId="0" fillId="0" borderId="33" xfId="0" applyFont="1" applyFill="1" applyBorder="1" applyProtection="1">
      <protection locked="0"/>
    </xf>
    <xf numFmtId="0" fontId="4" fillId="0" borderId="33" xfId="0" applyFont="1" applyFill="1" applyBorder="1" applyProtection="1">
      <protection locked="0"/>
    </xf>
    <xf numFmtId="0" fontId="0" fillId="0" borderId="33" xfId="0" applyFill="1" applyBorder="1" applyProtection="1">
      <protection locked="0"/>
    </xf>
    <xf numFmtId="4" fontId="0" fillId="0" borderId="1" xfId="0" applyNumberFormat="1" applyFont="1" applyFill="1" applyBorder="1" applyProtection="1">
      <protection locked="0"/>
    </xf>
    <xf numFmtId="166" fontId="0" fillId="0" borderId="1" xfId="0" applyNumberFormat="1" applyFont="1" applyFill="1" applyBorder="1" applyAlignment="1" applyProtection="1">
      <alignment horizontal="left" indent="3"/>
      <protection locked="0"/>
    </xf>
    <xf numFmtId="0" fontId="0" fillId="0" borderId="1" xfId="0" applyFill="1" applyBorder="1" applyAlignment="1" applyProtection="1">
      <alignment horizontal="center"/>
      <protection locked="0"/>
    </xf>
    <xf numFmtId="0" fontId="0" fillId="0" borderId="1" xfId="0" applyFill="1" applyBorder="1" applyAlignment="1" applyProtection="1">
      <alignment wrapText="1"/>
      <protection locked="0"/>
    </xf>
    <xf numFmtId="0" fontId="4" fillId="0" borderId="1" xfId="0" applyFont="1" applyFill="1" applyBorder="1" applyProtection="1">
      <protection locked="0"/>
    </xf>
    <xf numFmtId="164" fontId="0" fillId="0" borderId="1" xfId="0" applyNumberFormat="1" applyFont="1" applyFill="1" applyBorder="1" applyProtection="1">
      <protection locked="0"/>
    </xf>
    <xf numFmtId="164" fontId="0" fillId="0" borderId="1" xfId="0" applyNumberFormat="1" applyFont="1" applyFill="1" applyBorder="1" applyAlignment="1" applyProtection="1">
      <alignment horizontal="left" indent="3"/>
      <protection locked="0"/>
    </xf>
    <xf numFmtId="0" fontId="2" fillId="0" borderId="4" xfId="0" applyFont="1" applyFill="1" applyBorder="1" applyAlignment="1" applyProtection="1">
      <alignment horizontal="left"/>
      <protection locked="0"/>
    </xf>
    <xf numFmtId="0" fontId="4" fillId="0" borderId="4" xfId="0" applyFont="1" applyFill="1" applyBorder="1" applyAlignment="1" applyProtection="1">
      <alignment wrapText="1"/>
      <protection locked="0"/>
    </xf>
    <xf numFmtId="0" fontId="0" fillId="0" borderId="2" xfId="0" applyFont="1" applyFill="1" applyBorder="1" applyAlignment="1" applyProtection="1">
      <alignment wrapText="1"/>
      <protection locked="0"/>
    </xf>
    <xf numFmtId="0" fontId="0" fillId="0" borderId="2" xfId="0" applyFont="1" applyBorder="1" applyAlignment="1" applyProtection="1">
      <alignment horizontal="right" wrapText="1"/>
      <protection locked="0"/>
    </xf>
    <xf numFmtId="0" fontId="4" fillId="0" borderId="0" xfId="0" applyFont="1" applyProtection="1">
      <protection locked="0"/>
    </xf>
    <xf numFmtId="0" fontId="2" fillId="0" borderId="33" xfId="0" applyFont="1" applyFill="1" applyBorder="1" applyProtection="1">
      <protection locked="0"/>
    </xf>
    <xf numFmtId="0" fontId="3" fillId="4" borderId="30" xfId="0" applyFont="1" applyFill="1" applyBorder="1" applyAlignment="1" applyProtection="1">
      <alignment horizontal="center" vertical="center" wrapText="1" shrinkToFit="1"/>
      <protection locked="0"/>
    </xf>
    <xf numFmtId="0" fontId="3" fillId="4" borderId="31" xfId="0" applyFont="1" applyFill="1" applyBorder="1" applyAlignment="1" applyProtection="1">
      <alignment horizontal="center" vertical="center" wrapText="1" shrinkToFit="1"/>
      <protection locked="0"/>
    </xf>
    <xf numFmtId="0" fontId="3" fillId="4" borderId="32" xfId="0" applyFont="1" applyFill="1" applyBorder="1" applyAlignment="1" applyProtection="1">
      <alignment horizontal="center" vertical="center" wrapText="1" shrinkToFit="1"/>
      <protection locked="0"/>
    </xf>
    <xf numFmtId="0" fontId="0" fillId="0" borderId="0" xfId="0" applyAlignment="1" applyProtection="1">
      <alignment vertical="center"/>
    </xf>
    <xf numFmtId="167" fontId="0" fillId="0" borderId="0" xfId="0" applyNumberFormat="1" applyAlignment="1" applyProtection="1">
      <alignment vertical="center"/>
    </xf>
    <xf numFmtId="49" fontId="0" fillId="0" borderId="0" xfId="0" applyNumberFormat="1" applyAlignment="1" applyProtection="1">
      <alignment horizontal="center" vertical="center"/>
    </xf>
    <xf numFmtId="4" fontId="0" fillId="0" borderId="0" xfId="0" applyNumberFormat="1" applyAlignment="1" applyProtection="1">
      <alignment vertical="center"/>
    </xf>
    <xf numFmtId="0" fontId="1" fillId="0" borderId="0" xfId="0" applyFont="1" applyProtection="1"/>
    <xf numFmtId="0" fontId="0" fillId="0" borderId="0" xfId="0" applyProtection="1"/>
    <xf numFmtId="0" fontId="0" fillId="0" borderId="0" xfId="0" applyBorder="1" applyProtection="1"/>
    <xf numFmtId="0" fontId="3" fillId="4" borderId="30" xfId="0" applyFont="1" applyFill="1" applyBorder="1" applyAlignment="1" applyProtection="1">
      <alignment horizontal="center" vertical="center" wrapText="1" shrinkToFit="1"/>
    </xf>
    <xf numFmtId="0" fontId="3" fillId="4" borderId="31" xfId="0" applyFont="1" applyFill="1" applyBorder="1" applyAlignment="1" applyProtection="1">
      <alignment horizontal="center" vertical="center" wrapText="1" shrinkToFit="1"/>
    </xf>
    <xf numFmtId="0" fontId="3" fillId="4" borderId="32" xfId="0" applyFont="1" applyFill="1" applyBorder="1" applyAlignment="1" applyProtection="1">
      <alignment horizontal="center" vertical="center" wrapText="1" shrinkToFit="1"/>
    </xf>
    <xf numFmtId="0" fontId="2" fillId="0" borderId="35" xfId="0" applyFont="1" applyFill="1" applyBorder="1" applyProtection="1"/>
    <xf numFmtId="166" fontId="5" fillId="0" borderId="36" xfId="0" applyNumberFormat="1" applyFont="1" applyFill="1" applyBorder="1" applyProtection="1"/>
    <xf numFmtId="3" fontId="0" fillId="0" borderId="36" xfId="0" applyNumberFormat="1" applyFont="1" applyFill="1" applyBorder="1" applyProtection="1"/>
    <xf numFmtId="0" fontId="5" fillId="0" borderId="23" xfId="0" applyFont="1" applyBorder="1" applyAlignment="1" applyProtection="1">
      <alignment horizontal="center" vertical="center" wrapText="1" shrinkToFit="1"/>
    </xf>
    <xf numFmtId="0" fontId="5" fillId="0" borderId="0" xfId="0" applyFont="1" applyBorder="1" applyAlignment="1" applyProtection="1">
      <alignment horizontal="center" vertical="center" wrapText="1" shrinkToFit="1"/>
    </xf>
    <xf numFmtId="0" fontId="2" fillId="0" borderId="33" xfId="0" applyFont="1" applyFill="1" applyBorder="1" applyProtection="1"/>
    <xf numFmtId="0" fontId="0" fillId="0" borderId="33" xfId="0" applyFont="1" applyBorder="1" applyProtection="1"/>
    <xf numFmtId="0" fontId="0" fillId="0" borderId="1" xfId="0" applyFont="1" applyBorder="1" applyProtection="1"/>
    <xf numFmtId="0" fontId="0" fillId="0" borderId="1" xfId="0" applyFill="1" applyBorder="1" applyAlignment="1" applyProtection="1">
      <alignment horizontal="right"/>
    </xf>
    <xf numFmtId="166" fontId="0" fillId="0" borderId="1" xfId="0" applyNumberFormat="1" applyFont="1" applyFill="1" applyBorder="1" applyProtection="1"/>
    <xf numFmtId="3" fontId="0" fillId="0" borderId="1" xfId="0" applyNumberFormat="1" applyFont="1" applyFill="1" applyBorder="1" applyProtection="1"/>
    <xf numFmtId="0" fontId="2" fillId="0" borderId="33" xfId="0" applyFont="1" applyBorder="1" applyProtection="1"/>
    <xf numFmtId="3" fontId="0" fillId="0" borderId="1" xfId="0" applyNumberFormat="1" applyFill="1" applyBorder="1" applyProtection="1"/>
    <xf numFmtId="0" fontId="0" fillId="0" borderId="1" xfId="0" applyBorder="1" applyProtection="1"/>
    <xf numFmtId="0" fontId="0" fillId="0" borderId="33" xfId="0" applyFont="1" applyFill="1" applyBorder="1" applyProtection="1"/>
    <xf numFmtId="0" fontId="4" fillId="0" borderId="33" xfId="0" applyFont="1" applyFill="1" applyBorder="1" applyProtection="1"/>
    <xf numFmtId="0" fontId="4" fillId="0" borderId="2" xfId="0" applyFont="1" applyBorder="1" applyAlignment="1" applyProtection="1">
      <alignment wrapText="1"/>
    </xf>
    <xf numFmtId="0" fontId="0" fillId="0" borderId="2" xfId="0" applyFont="1" applyBorder="1" applyAlignment="1" applyProtection="1">
      <alignment wrapText="1"/>
    </xf>
    <xf numFmtId="4" fontId="0" fillId="0" borderId="1" xfId="0" applyNumberFormat="1" applyFont="1" applyFill="1" applyBorder="1" applyProtection="1"/>
    <xf numFmtId="0" fontId="0" fillId="0" borderId="2" xfId="0" applyFont="1" applyBorder="1" applyAlignment="1" applyProtection="1">
      <alignment horizontal="left" wrapText="1"/>
    </xf>
    <xf numFmtId="0" fontId="0" fillId="0" borderId="1" xfId="0" applyFill="1" applyBorder="1" applyAlignment="1" applyProtection="1">
      <alignment horizontal="center"/>
    </xf>
    <xf numFmtId="43" fontId="0" fillId="0" borderId="1" xfId="0" applyNumberFormat="1" applyFont="1" applyFill="1" applyBorder="1" applyAlignment="1" applyProtection="1">
      <alignment horizontal="left" indent="3"/>
    </xf>
    <xf numFmtId="166" fontId="0" fillId="0" borderId="1" xfId="0" applyNumberFormat="1" applyFont="1" applyFill="1" applyBorder="1" applyAlignment="1" applyProtection="1">
      <alignment horizontal="left" indent="3"/>
    </xf>
    <xf numFmtId="0" fontId="4" fillId="0" borderId="33" xfId="0" applyFont="1" applyBorder="1" applyProtection="1"/>
    <xf numFmtId="0" fontId="0" fillId="0" borderId="1" xfId="0" applyFont="1" applyBorder="1" applyAlignment="1" applyProtection="1">
      <alignment horizontal="left"/>
    </xf>
    <xf numFmtId="0" fontId="0" fillId="0" borderId="1" xfId="0" applyFont="1" applyBorder="1" applyAlignment="1" applyProtection="1">
      <alignment horizontal="center"/>
    </xf>
    <xf numFmtId="0" fontId="0" fillId="0" borderId="33" xfId="0" applyBorder="1" applyProtection="1"/>
    <xf numFmtId="0" fontId="0" fillId="0" borderId="1" xfId="0" applyBorder="1" applyAlignment="1" applyProtection="1">
      <alignment wrapText="1"/>
    </xf>
    <xf numFmtId="0" fontId="0" fillId="0" borderId="33" xfId="0" applyFill="1" applyBorder="1" applyProtection="1"/>
    <xf numFmtId="3" fontId="0" fillId="0" borderId="1" xfId="0" applyNumberFormat="1" applyFill="1" applyBorder="1" applyAlignment="1" applyProtection="1">
      <alignment horizontal="right"/>
    </xf>
    <xf numFmtId="168" fontId="0" fillId="0" borderId="1" xfId="1" applyNumberFormat="1" applyFont="1" applyFill="1" applyBorder="1" applyProtection="1"/>
    <xf numFmtId="0" fontId="2" fillId="0" borderId="0" xfId="0" applyFont="1" applyProtection="1"/>
    <xf numFmtId="0" fontId="0" fillId="0" borderId="23" xfId="0" applyBorder="1" applyProtection="1"/>
    <xf numFmtId="9" fontId="0" fillId="0" borderId="3" xfId="0" applyNumberFormat="1" applyFill="1" applyBorder="1" applyProtection="1"/>
    <xf numFmtId="0" fontId="0" fillId="0" borderId="1" xfId="0" applyFill="1" applyBorder="1" applyProtection="1"/>
    <xf numFmtId="0" fontId="0" fillId="0" borderId="35" xfId="0" applyBorder="1" applyProtection="1"/>
    <xf numFmtId="9" fontId="0" fillId="0" borderId="42" xfId="0" applyNumberFormat="1" applyFill="1" applyBorder="1" applyProtection="1"/>
    <xf numFmtId="0" fontId="0" fillId="8" borderId="1" xfId="0" applyFill="1" applyBorder="1" applyAlignment="1" applyProtection="1">
      <alignment horizontal="right"/>
    </xf>
    <xf numFmtId="164" fontId="0" fillId="8" borderId="1" xfId="0" applyNumberFormat="1" applyFont="1" applyFill="1" applyBorder="1" applyAlignment="1" applyProtection="1">
      <alignment horizontal="right"/>
    </xf>
    <xf numFmtId="3" fontId="0" fillId="8" borderId="1" xfId="0" applyNumberFormat="1" applyFont="1" applyFill="1" applyBorder="1" applyProtection="1"/>
    <xf numFmtId="164" fontId="0" fillId="8" borderId="1" xfId="0" applyNumberFormat="1" applyFont="1" applyFill="1" applyBorder="1" applyProtection="1"/>
    <xf numFmtId="3" fontId="0" fillId="8" borderId="1" xfId="0" applyNumberFormat="1" applyFill="1" applyBorder="1" applyProtection="1"/>
    <xf numFmtId="1" fontId="0" fillId="0" borderId="1" xfId="0" applyNumberFormat="1" applyFill="1" applyBorder="1" applyAlignment="1" applyProtection="1">
      <alignment horizontal="right" indent="2"/>
    </xf>
    <xf numFmtId="166" fontId="0" fillId="0" borderId="1" xfId="0" applyNumberFormat="1" applyFill="1" applyBorder="1" applyAlignment="1" applyProtection="1">
      <alignment horizontal="right" indent="2"/>
    </xf>
    <xf numFmtId="4" fontId="0" fillId="8" borderId="1" xfId="0" applyNumberFormat="1" applyFont="1" applyFill="1" applyBorder="1" applyProtection="1"/>
    <xf numFmtId="170" fontId="0" fillId="0" borderId="1" xfId="0" applyNumberFormat="1" applyFill="1" applyBorder="1" applyAlignment="1" applyProtection="1">
      <alignment horizontal="right" indent="2"/>
    </xf>
    <xf numFmtId="0" fontId="0" fillId="0" borderId="0" xfId="0" applyFill="1" applyBorder="1" applyProtection="1"/>
    <xf numFmtId="0" fontId="0" fillId="4" borderId="14" xfId="0" applyFill="1" applyBorder="1" applyAlignment="1" applyProtection="1">
      <alignment horizontal="left" vertical="center"/>
      <protection locked="0"/>
    </xf>
    <xf numFmtId="167" fontId="0" fillId="4" borderId="14" xfId="0" applyNumberFormat="1" applyFill="1" applyBorder="1" applyAlignment="1" applyProtection="1">
      <alignment horizontal="left" vertical="center"/>
      <protection locked="0"/>
    </xf>
    <xf numFmtId="0" fontId="0" fillId="4" borderId="14" xfId="0" applyFill="1" applyBorder="1" applyAlignment="1" applyProtection="1">
      <alignment vertical="center"/>
      <protection locked="0"/>
    </xf>
    <xf numFmtId="167" fontId="9" fillId="4" borderId="14" xfId="0" applyNumberFormat="1" applyFont="1" applyFill="1" applyBorder="1" applyAlignment="1" applyProtection="1">
      <alignment horizontal="left" vertical="center"/>
      <protection locked="0"/>
    </xf>
    <xf numFmtId="0" fontId="4" fillId="0" borderId="2" xfId="0" applyFont="1" applyBorder="1" applyAlignment="1" applyProtection="1">
      <alignment horizontal="left" wrapText="1"/>
    </xf>
    <xf numFmtId="0" fontId="0" fillId="0" borderId="2" xfId="0" applyFont="1" applyFill="1" applyBorder="1" applyAlignment="1" applyProtection="1">
      <alignment horizontal="left" wrapText="1"/>
      <protection locked="0"/>
    </xf>
    <xf numFmtId="0" fontId="0" fillId="0" borderId="4" xfId="0" applyFont="1" applyFill="1" applyBorder="1" applyAlignment="1" applyProtection="1">
      <alignment horizontal="left" wrapText="1"/>
      <protection locked="0"/>
    </xf>
    <xf numFmtId="0" fontId="0" fillId="0" borderId="2" xfId="0" applyFill="1" applyBorder="1" applyAlignment="1" applyProtection="1">
      <alignment horizontal="left" wrapText="1"/>
      <protection locked="0"/>
    </xf>
    <xf numFmtId="0" fontId="0" fillId="0" borderId="4" xfId="0" applyFill="1" applyBorder="1" applyAlignment="1" applyProtection="1">
      <alignment horizontal="left" wrapText="1"/>
      <protection locked="0"/>
    </xf>
    <xf numFmtId="0" fontId="0" fillId="0" borderId="2" xfId="0" applyFont="1" applyFill="1" applyBorder="1" applyAlignment="1" applyProtection="1">
      <alignment horizontal="left"/>
      <protection locked="0"/>
    </xf>
    <xf numFmtId="0" fontId="15" fillId="0" borderId="0" xfId="0" applyFont="1" applyAlignment="1" applyProtection="1">
      <alignment horizontal="left" wrapText="1"/>
      <protection locked="0"/>
    </xf>
    <xf numFmtId="166" fontId="7" fillId="0" borderId="38" xfId="0" applyNumberFormat="1" applyFont="1" applyFill="1" applyBorder="1" applyAlignment="1" applyProtection="1">
      <alignment horizontal="right"/>
    </xf>
    <xf numFmtId="166" fontId="0" fillId="0" borderId="39" xfId="0" applyNumberFormat="1" applyFill="1" applyBorder="1" applyAlignment="1" applyProtection="1">
      <alignment horizontal="center"/>
    </xf>
    <xf numFmtId="166" fontId="7" fillId="7" borderId="39" xfId="0" applyNumberFormat="1" applyFont="1" applyFill="1" applyBorder="1" applyAlignment="1" applyProtection="1">
      <alignment horizontal="center"/>
    </xf>
    <xf numFmtId="166" fontId="7" fillId="7" borderId="39" xfId="1" applyNumberFormat="1" applyFont="1" applyFill="1" applyBorder="1" applyAlignment="1" applyProtection="1">
      <alignment horizontal="right" indent="2"/>
    </xf>
    <xf numFmtId="166" fontId="0" fillId="0" borderId="39" xfId="1" applyNumberFormat="1" applyFont="1" applyFill="1" applyBorder="1" applyAlignment="1" applyProtection="1">
      <alignment horizontal="right" indent="2"/>
    </xf>
    <xf numFmtId="166" fontId="0" fillId="0" borderId="39" xfId="0" applyNumberFormat="1" applyFill="1" applyBorder="1" applyAlignment="1" applyProtection="1">
      <alignment horizontal="right" indent="2"/>
    </xf>
    <xf numFmtId="166" fontId="7" fillId="7" borderId="39" xfId="0" applyNumberFormat="1" applyFont="1" applyFill="1" applyBorder="1" applyAlignment="1" applyProtection="1">
      <alignment horizontal="right" indent="2"/>
    </xf>
    <xf numFmtId="166" fontId="6" fillId="0" borderId="39" xfId="1" applyNumberFormat="1" applyFont="1" applyFill="1" applyBorder="1" applyAlignment="1" applyProtection="1">
      <alignment horizontal="right" indent="2"/>
    </xf>
    <xf numFmtId="166" fontId="0" fillId="0" borderId="53" xfId="0" applyNumberFormat="1" applyFill="1" applyBorder="1" applyAlignment="1" applyProtection="1">
      <alignment horizontal="right"/>
    </xf>
    <xf numFmtId="166" fontId="2" fillId="6" borderId="54" xfId="0" applyNumberFormat="1" applyFont="1" applyFill="1" applyBorder="1" applyAlignment="1" applyProtection="1">
      <alignment horizontal="right"/>
    </xf>
    <xf numFmtId="166" fontId="2" fillId="0" borderId="53" xfId="0" applyNumberFormat="1" applyFont="1" applyFill="1" applyBorder="1" applyAlignment="1" applyProtection="1">
      <alignment horizontal="right"/>
    </xf>
    <xf numFmtId="171" fontId="0" fillId="0" borderId="1" xfId="0" applyNumberFormat="1" applyFill="1" applyBorder="1" applyAlignment="1" applyProtection="1">
      <alignment horizontal="right"/>
    </xf>
    <xf numFmtId="171" fontId="0" fillId="0" borderId="1" xfId="0" applyNumberFormat="1" applyFill="1" applyBorder="1" applyProtection="1"/>
    <xf numFmtId="166" fontId="7" fillId="6" borderId="38" xfId="0" applyNumberFormat="1" applyFont="1" applyFill="1" applyBorder="1" applyAlignment="1" applyProtection="1">
      <alignment horizontal="center"/>
    </xf>
    <xf numFmtId="166" fontId="7" fillId="5" borderId="39" xfId="0" applyNumberFormat="1" applyFont="1" applyFill="1" applyBorder="1" applyAlignment="1" applyProtection="1">
      <alignment horizontal="center"/>
    </xf>
    <xf numFmtId="166" fontId="0" fillId="0" borderId="0" xfId="0" applyNumberFormat="1" applyProtection="1"/>
    <xf numFmtId="43" fontId="0" fillId="0" borderId="36" xfId="0" applyNumberFormat="1" applyFill="1" applyBorder="1" applyProtection="1"/>
    <xf numFmtId="43" fontId="0" fillId="0" borderId="1" xfId="0" applyNumberFormat="1" applyFill="1" applyBorder="1" applyProtection="1"/>
    <xf numFmtId="0" fontId="0" fillId="0" borderId="0" xfId="0" applyProtection="1">
      <protection hidden="1"/>
    </xf>
    <xf numFmtId="2" fontId="0" fillId="0" borderId="1" xfId="0" applyNumberFormat="1" applyFill="1" applyBorder="1" applyProtection="1"/>
    <xf numFmtId="169" fontId="0" fillId="0" borderId="1" xfId="0" applyNumberFormat="1" applyFill="1" applyBorder="1" applyProtection="1"/>
    <xf numFmtId="0" fontId="0" fillId="0" borderId="1" xfId="0" applyFill="1" applyBorder="1" applyAlignment="1" applyProtection="1">
      <alignment wrapText="1"/>
    </xf>
    <xf numFmtId="0" fontId="0" fillId="2" borderId="0" xfId="0" applyFill="1" applyAlignment="1" applyProtection="1">
      <alignment vertical="center"/>
    </xf>
    <xf numFmtId="0" fontId="0" fillId="2" borderId="0" xfId="0" applyFill="1" applyBorder="1" applyAlignment="1" applyProtection="1">
      <alignment vertical="center"/>
    </xf>
    <xf numFmtId="167" fontId="0" fillId="2" borderId="0" xfId="0" applyNumberFormat="1" applyFill="1" applyBorder="1" applyAlignment="1" applyProtection="1">
      <alignment vertical="center"/>
    </xf>
    <xf numFmtId="49" fontId="0" fillId="2" borderId="25" xfId="0" applyNumberFormat="1" applyFill="1" applyBorder="1" applyAlignment="1" applyProtection="1">
      <alignment horizontal="center" vertical="center"/>
    </xf>
    <xf numFmtId="0" fontId="0" fillId="2" borderId="26" xfId="0" applyFill="1" applyBorder="1" applyAlignment="1" applyProtection="1">
      <alignment vertical="center"/>
    </xf>
    <xf numFmtId="49" fontId="0" fillId="2" borderId="27" xfId="0" applyNumberFormat="1" applyFill="1" applyBorder="1" applyAlignment="1" applyProtection="1">
      <alignment horizontal="center" vertical="center"/>
    </xf>
    <xf numFmtId="0" fontId="0" fillId="2" borderId="28" xfId="0" applyFill="1" applyBorder="1" applyAlignment="1" applyProtection="1">
      <alignment vertical="center"/>
    </xf>
    <xf numFmtId="167" fontId="0" fillId="2" borderId="28" xfId="0" applyNumberFormat="1" applyFill="1" applyBorder="1" applyAlignment="1" applyProtection="1">
      <alignment vertical="center"/>
    </xf>
    <xf numFmtId="0" fontId="0" fillId="2" borderId="29" xfId="0" applyFill="1" applyBorder="1" applyAlignment="1" applyProtection="1">
      <alignment vertical="center"/>
    </xf>
    <xf numFmtId="43" fontId="7" fillId="7" borderId="39" xfId="1" applyNumberFormat="1" applyFont="1" applyFill="1" applyBorder="1" applyAlignment="1" applyProtection="1">
      <alignment horizontal="right" indent="2"/>
    </xf>
    <xf numFmtId="166" fontId="2" fillId="6" borderId="54" xfId="0" applyNumberFormat="1" applyFont="1" applyFill="1" applyBorder="1" applyAlignment="1" applyProtection="1">
      <alignment horizontal="right" indent="2"/>
    </xf>
    <xf numFmtId="49" fontId="15" fillId="2" borderId="25" xfId="0" applyNumberFormat="1" applyFont="1" applyFill="1" applyBorder="1" applyAlignment="1" applyProtection="1">
      <alignment horizontal="left" vertical="center"/>
    </xf>
    <xf numFmtId="0" fontId="15" fillId="2" borderId="0" xfId="0" applyFont="1" applyFill="1" applyBorder="1" applyAlignment="1" applyProtection="1">
      <alignment horizontal="center" vertical="center"/>
    </xf>
    <xf numFmtId="0" fontId="11" fillId="3" borderId="12" xfId="0" applyFont="1" applyFill="1" applyBorder="1" applyAlignment="1" applyProtection="1">
      <alignment horizontal="center" vertical="center"/>
    </xf>
    <xf numFmtId="0" fontId="11" fillId="3" borderId="18" xfId="0" applyFont="1" applyFill="1" applyBorder="1" applyAlignment="1" applyProtection="1">
      <alignment horizontal="center" vertical="center"/>
    </xf>
    <xf numFmtId="0" fontId="11" fillId="3" borderId="13" xfId="0" applyFont="1" applyFill="1" applyBorder="1" applyAlignment="1" applyProtection="1">
      <alignment horizontal="center" vertical="center"/>
    </xf>
    <xf numFmtId="3" fontId="18" fillId="0" borderId="7" xfId="0" applyNumberFormat="1" applyFont="1" applyBorder="1" applyAlignment="1" applyProtection="1">
      <alignment horizontal="right" vertical="center"/>
    </xf>
    <xf numFmtId="0" fontId="9" fillId="2" borderId="0" xfId="0" applyFont="1" applyFill="1" applyBorder="1" applyAlignment="1" applyProtection="1">
      <alignment vertical="center"/>
    </xf>
    <xf numFmtId="0" fontId="0" fillId="0" borderId="0" xfId="0" applyBorder="1" applyAlignment="1" applyProtection="1">
      <alignment vertical="center"/>
    </xf>
    <xf numFmtId="3" fontId="18" fillId="0" borderId="9" xfId="0" applyNumberFormat="1" applyFont="1" applyBorder="1" applyAlignment="1" applyProtection="1">
      <alignment horizontal="right" vertical="center"/>
    </xf>
    <xf numFmtId="3" fontId="18" fillId="0" borderId="11" xfId="0" applyNumberFormat="1" applyFont="1" applyBorder="1" applyAlignment="1" applyProtection="1">
      <alignment horizontal="right" vertical="center"/>
    </xf>
    <xf numFmtId="0" fontId="9" fillId="2" borderId="0" xfId="0" applyFont="1" applyFill="1" applyBorder="1" applyAlignment="1" applyProtection="1">
      <alignment vertical="center" wrapText="1"/>
    </xf>
    <xf numFmtId="0" fontId="18" fillId="0" borderId="8" xfId="0" applyFont="1" applyBorder="1" applyAlignment="1" applyProtection="1">
      <alignment horizontal="left" vertical="center"/>
    </xf>
    <xf numFmtId="0" fontId="18" fillId="0" borderId="15" xfId="0" applyFont="1" applyBorder="1" applyAlignment="1" applyProtection="1">
      <alignment horizontal="left" vertical="center"/>
    </xf>
    <xf numFmtId="0" fontId="18" fillId="0" borderId="10" xfId="0" applyFont="1" applyBorder="1" applyAlignment="1" applyProtection="1">
      <alignment horizontal="left" vertical="center"/>
    </xf>
    <xf numFmtId="0" fontId="18" fillId="0" borderId="17" xfId="0" applyFont="1" applyBorder="1" applyAlignment="1" applyProtection="1">
      <alignment horizontal="left" vertical="center"/>
    </xf>
    <xf numFmtId="0" fontId="16" fillId="6" borderId="6" xfId="0" applyFont="1" applyFill="1" applyBorder="1" applyAlignment="1" applyProtection="1">
      <alignment horizontal="center" vertical="center"/>
    </xf>
    <xf numFmtId="0" fontId="16" fillId="6" borderId="16" xfId="0" applyFont="1" applyFill="1" applyBorder="1" applyAlignment="1" applyProtection="1">
      <alignment horizontal="center" vertical="center"/>
    </xf>
    <xf numFmtId="0" fontId="16" fillId="6" borderId="57" xfId="0" applyFont="1" applyFill="1" applyBorder="1" applyAlignment="1" applyProtection="1">
      <alignment horizontal="center" vertical="center"/>
    </xf>
    <xf numFmtId="0" fontId="16" fillId="6" borderId="55" xfId="0" applyFont="1" applyFill="1" applyBorder="1" applyAlignment="1" applyProtection="1">
      <alignment horizontal="center" vertical="center"/>
    </xf>
    <xf numFmtId="0" fontId="16" fillId="6" borderId="56" xfId="0" applyFont="1" applyFill="1" applyBorder="1" applyAlignment="1" applyProtection="1">
      <alignment horizontal="center" vertical="center" wrapText="1"/>
    </xf>
    <xf numFmtId="0" fontId="16" fillId="6" borderId="21" xfId="0" applyFont="1" applyFill="1" applyBorder="1" applyAlignment="1" applyProtection="1">
      <alignment horizontal="center" vertical="center" wrapText="1"/>
    </xf>
    <xf numFmtId="0" fontId="18" fillId="0" borderId="6" xfId="0" applyFont="1" applyBorder="1" applyAlignment="1" applyProtection="1">
      <alignment horizontal="left" vertical="center"/>
    </xf>
    <xf numFmtId="0" fontId="18" fillId="0" borderId="16" xfId="0" applyFont="1" applyBorder="1" applyAlignment="1" applyProtection="1">
      <alignment horizontal="left" vertical="center"/>
    </xf>
    <xf numFmtId="0" fontId="12" fillId="3" borderId="8" xfId="0" applyFont="1" applyFill="1" applyBorder="1" applyAlignment="1" applyProtection="1">
      <alignment horizontal="center" vertical="center"/>
    </xf>
    <xf numFmtId="0" fontId="12" fillId="3" borderId="10"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23" xfId="0" applyFont="1" applyFill="1" applyBorder="1" applyAlignment="1" applyProtection="1">
      <alignment horizontal="center" vertical="center"/>
    </xf>
    <xf numFmtId="0" fontId="8" fillId="2" borderId="24" xfId="0" applyFont="1" applyFill="1" applyBorder="1" applyAlignment="1" applyProtection="1">
      <alignment horizontal="center" vertical="center"/>
    </xf>
    <xf numFmtId="0" fontId="10" fillId="3" borderId="6"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10" fillId="3" borderId="7" xfId="0" applyFont="1" applyFill="1" applyBorder="1" applyAlignment="1" applyProtection="1">
      <alignment horizontal="center" vertical="center"/>
    </xf>
    <xf numFmtId="0" fontId="10" fillId="3" borderId="19" xfId="0" applyFont="1" applyFill="1" applyBorder="1" applyAlignment="1" applyProtection="1">
      <alignment horizontal="center" vertical="center"/>
    </xf>
    <xf numFmtId="0" fontId="10" fillId="3" borderId="20" xfId="0" applyFont="1" applyFill="1" applyBorder="1" applyAlignment="1" applyProtection="1">
      <alignment horizontal="center" vertical="center"/>
    </xf>
    <xf numFmtId="0" fontId="10" fillId="3" borderId="21" xfId="0" applyFont="1" applyFill="1" applyBorder="1" applyAlignment="1" applyProtection="1">
      <alignment horizontal="center" vertical="center"/>
    </xf>
    <xf numFmtId="0" fontId="10" fillId="3" borderId="10" xfId="0" applyFont="1" applyFill="1" applyBorder="1" applyAlignment="1" applyProtection="1">
      <alignment horizontal="center" vertical="center"/>
    </xf>
    <xf numFmtId="0" fontId="10" fillId="3" borderId="17" xfId="0" applyFont="1" applyFill="1" applyBorder="1" applyAlignment="1" applyProtection="1">
      <alignment horizontal="center" vertical="center"/>
    </xf>
    <xf numFmtId="0" fontId="10" fillId="3" borderId="11" xfId="0" applyFont="1" applyFill="1" applyBorder="1" applyAlignment="1" applyProtection="1">
      <alignment horizontal="center" vertical="center"/>
    </xf>
    <xf numFmtId="167" fontId="17" fillId="2" borderId="9" xfId="0" applyNumberFormat="1" applyFont="1" applyFill="1" applyBorder="1" applyAlignment="1" applyProtection="1">
      <alignment horizontal="center" vertical="center"/>
    </xf>
    <xf numFmtId="167" fontId="17" fillId="2" borderId="11" xfId="0" applyNumberFormat="1" applyFont="1" applyFill="1" applyBorder="1" applyAlignment="1" applyProtection="1">
      <alignment horizontal="center" vertical="center"/>
    </xf>
    <xf numFmtId="167" fontId="17" fillId="2" borderId="15" xfId="0" applyNumberFormat="1" applyFont="1" applyFill="1" applyBorder="1" applyAlignment="1" applyProtection="1">
      <alignment horizontal="center" vertical="center"/>
    </xf>
    <xf numFmtId="167" fontId="17" fillId="2" borderId="17" xfId="0" applyNumberFormat="1" applyFont="1" applyFill="1" applyBorder="1" applyAlignment="1" applyProtection="1">
      <alignment horizontal="center" vertical="center"/>
    </xf>
    <xf numFmtId="0" fontId="0" fillId="0" borderId="2" xfId="0" applyFill="1" applyBorder="1" applyAlignment="1" applyProtection="1">
      <alignment horizontal="left"/>
    </xf>
    <xf numFmtId="0" fontId="0" fillId="0" borderId="3" xfId="0" applyFill="1" applyBorder="1" applyAlignment="1" applyProtection="1">
      <alignment horizontal="left"/>
    </xf>
    <xf numFmtId="0" fontId="0" fillId="0" borderId="4" xfId="0" applyFill="1" applyBorder="1" applyAlignment="1" applyProtection="1">
      <alignment horizontal="left"/>
    </xf>
    <xf numFmtId="0" fontId="0" fillId="0" borderId="45" xfId="0" applyFill="1" applyBorder="1" applyAlignment="1" applyProtection="1">
      <alignment horizontal="left"/>
    </xf>
    <xf numFmtId="0" fontId="0" fillId="0" borderId="42" xfId="0" applyFill="1" applyBorder="1" applyAlignment="1" applyProtection="1">
      <alignment horizontal="left"/>
    </xf>
    <xf numFmtId="0" fontId="0" fillId="0" borderId="37" xfId="0" applyFill="1" applyBorder="1" applyAlignment="1" applyProtection="1">
      <alignment horizontal="left"/>
    </xf>
    <xf numFmtId="0" fontId="2" fillId="0" borderId="1" xfId="0" applyFont="1" applyFill="1" applyBorder="1" applyAlignment="1" applyProtection="1">
      <alignment horizontal="left"/>
    </xf>
    <xf numFmtId="0" fontId="2" fillId="0" borderId="39" xfId="0" applyFont="1" applyFill="1" applyBorder="1" applyAlignment="1" applyProtection="1">
      <alignment horizontal="left"/>
    </xf>
    <xf numFmtId="0" fontId="3" fillId="4" borderId="43" xfId="0" applyFont="1" applyFill="1" applyBorder="1" applyAlignment="1" applyProtection="1">
      <alignment horizontal="center" vertical="center" wrapText="1" shrinkToFit="1"/>
    </xf>
    <xf numFmtId="0" fontId="3" fillId="4" borderId="46" xfId="0" applyFont="1" applyFill="1" applyBorder="1" applyAlignment="1" applyProtection="1">
      <alignment horizontal="center" vertical="center" wrapText="1" shrinkToFit="1"/>
    </xf>
    <xf numFmtId="0" fontId="3" fillId="4" borderId="44" xfId="0" applyFont="1" applyFill="1" applyBorder="1" applyAlignment="1" applyProtection="1">
      <alignment horizontal="center" vertical="center" wrapText="1" shrinkToFit="1"/>
    </xf>
    <xf numFmtId="0" fontId="2" fillId="6" borderId="47" xfId="0" applyFont="1" applyFill="1" applyBorder="1" applyAlignment="1" applyProtection="1">
      <alignment horizontal="left"/>
    </xf>
    <xf numFmtId="0" fontId="2" fillId="6" borderId="48" xfId="0" applyFont="1" applyFill="1" applyBorder="1" applyAlignment="1" applyProtection="1">
      <alignment horizontal="left"/>
    </xf>
    <xf numFmtId="0" fontId="14" fillId="0" borderId="28" xfId="0" applyFont="1" applyFill="1" applyBorder="1" applyAlignment="1" applyProtection="1">
      <alignment horizontal="left"/>
    </xf>
    <xf numFmtId="0" fontId="0" fillId="0" borderId="50" xfId="0" applyBorder="1" applyAlignment="1" applyProtection="1">
      <alignment horizontal="center"/>
    </xf>
    <xf numFmtId="0" fontId="0" fillId="0" borderId="51" xfId="0" applyBorder="1" applyAlignment="1" applyProtection="1">
      <alignment horizontal="center"/>
    </xf>
    <xf numFmtId="0" fontId="0" fillId="0" borderId="52" xfId="0" applyBorder="1" applyAlignment="1" applyProtection="1">
      <alignment horizontal="center"/>
    </xf>
    <xf numFmtId="0" fontId="2" fillId="6" borderId="49" xfId="0" applyFont="1" applyFill="1" applyBorder="1" applyAlignment="1" applyProtection="1">
      <alignment horizontal="left"/>
    </xf>
    <xf numFmtId="0" fontId="0" fillId="0" borderId="2" xfId="0" applyBorder="1" applyAlignment="1" applyProtection="1">
      <alignment horizontal="left" wrapText="1"/>
    </xf>
    <xf numFmtId="0" fontId="0" fillId="0" borderId="3" xfId="0" applyBorder="1" applyAlignment="1" applyProtection="1">
      <alignment horizontal="left" wrapText="1"/>
    </xf>
    <xf numFmtId="0" fontId="0" fillId="0" borderId="4" xfId="0" applyBorder="1" applyAlignment="1" applyProtection="1">
      <alignment horizontal="left" wrapText="1"/>
    </xf>
    <xf numFmtId="0" fontId="0" fillId="0" borderId="2" xfId="0" applyFont="1" applyFill="1" applyBorder="1" applyAlignment="1" applyProtection="1">
      <alignment horizontal="left"/>
    </xf>
    <xf numFmtId="0" fontId="0" fillId="0" borderId="3" xfId="0" applyFont="1" applyFill="1" applyBorder="1" applyAlignment="1" applyProtection="1">
      <alignment horizontal="left"/>
    </xf>
    <xf numFmtId="0" fontId="0" fillId="0" borderId="4" xfId="0" applyFont="1" applyFill="1" applyBorder="1" applyAlignment="1" applyProtection="1">
      <alignment horizontal="left"/>
    </xf>
    <xf numFmtId="0" fontId="7" fillId="0" borderId="2" xfId="0" applyFont="1" applyFill="1" applyBorder="1" applyAlignment="1" applyProtection="1">
      <alignment horizontal="left" wrapText="1"/>
    </xf>
    <xf numFmtId="0" fontId="7" fillId="0" borderId="3" xfId="0" applyFont="1" applyFill="1" applyBorder="1" applyAlignment="1" applyProtection="1">
      <alignment horizontal="left" wrapText="1"/>
    </xf>
    <xf numFmtId="0" fontId="7" fillId="0" borderId="52" xfId="0" applyFont="1" applyFill="1" applyBorder="1" applyAlignment="1" applyProtection="1">
      <alignment horizontal="left" wrapText="1"/>
    </xf>
    <xf numFmtId="0" fontId="7" fillId="0" borderId="5" xfId="0" applyFont="1" applyFill="1" applyBorder="1" applyAlignment="1" applyProtection="1">
      <alignment horizontal="left"/>
    </xf>
    <xf numFmtId="0" fontId="7" fillId="0" borderId="0" xfId="0" applyFont="1" applyFill="1" applyBorder="1" applyAlignment="1" applyProtection="1">
      <alignment horizontal="left"/>
    </xf>
    <xf numFmtId="0" fontId="7" fillId="0" borderId="26" xfId="0" applyFont="1" applyFill="1" applyBorder="1" applyAlignment="1" applyProtection="1">
      <alignment horizontal="left"/>
    </xf>
    <xf numFmtId="0" fontId="7" fillId="7" borderId="40" xfId="0" applyFont="1" applyFill="1" applyBorder="1" applyAlignment="1" applyProtection="1">
      <alignment horizontal="right"/>
    </xf>
    <xf numFmtId="0" fontId="7" fillId="7" borderId="3" xfId="0" applyFont="1" applyFill="1" applyBorder="1" applyAlignment="1" applyProtection="1">
      <alignment horizontal="right"/>
    </xf>
    <xf numFmtId="0" fontId="7" fillId="7" borderId="4" xfId="0" applyFont="1" applyFill="1" applyBorder="1" applyAlignment="1" applyProtection="1">
      <alignment horizontal="right"/>
    </xf>
    <xf numFmtId="0" fontId="2" fillId="6" borderId="41" xfId="0" applyFont="1" applyFill="1" applyBorder="1" applyAlignment="1" applyProtection="1">
      <alignment horizontal="left"/>
    </xf>
    <xf numFmtId="0" fontId="2" fillId="6" borderId="42" xfId="0" applyFont="1" applyFill="1" applyBorder="1" applyAlignment="1" applyProtection="1">
      <alignment horizontal="left"/>
    </xf>
    <xf numFmtId="0" fontId="2" fillId="6" borderId="37" xfId="0" applyFont="1" applyFill="1" applyBorder="1" applyAlignment="1" applyProtection="1">
      <alignment horizontal="left"/>
    </xf>
    <xf numFmtId="0" fontId="15" fillId="0" borderId="0" xfId="0" applyFont="1" applyAlignment="1" applyProtection="1">
      <alignment horizontal="left" wrapText="1" shrinkToFit="1"/>
    </xf>
    <xf numFmtId="0" fontId="0" fillId="0" borderId="0" xfId="0" applyAlignment="1" applyProtection="1">
      <alignment wrapText="1" shrinkToFit="1"/>
    </xf>
    <xf numFmtId="0" fontId="7" fillId="7" borderId="33" xfId="0" applyFont="1" applyFill="1" applyBorder="1" applyAlignment="1" applyProtection="1">
      <alignment horizontal="right"/>
    </xf>
    <xf numFmtId="0" fontId="7" fillId="7" borderId="1" xfId="0" applyFont="1" applyFill="1" applyBorder="1" applyAlignment="1" applyProtection="1">
      <alignment horizontal="right"/>
    </xf>
    <xf numFmtId="0" fontId="0" fillId="0" borderId="34" xfId="0" applyFont="1" applyFill="1" applyBorder="1" applyAlignment="1" applyProtection="1">
      <alignment horizontal="left"/>
    </xf>
    <xf numFmtId="0" fontId="2" fillId="0" borderId="1" xfId="0" applyFont="1" applyFill="1" applyBorder="1" applyAlignment="1" applyProtection="1"/>
    <xf numFmtId="0" fontId="2" fillId="0" borderId="39" xfId="0" applyFont="1" applyFill="1" applyBorder="1" applyAlignment="1" applyProtection="1"/>
    <xf numFmtId="0" fontId="2" fillId="0" borderId="1" xfId="0" applyFont="1" applyBorder="1" applyAlignment="1" applyProtection="1">
      <alignment horizontal="left"/>
    </xf>
    <xf numFmtId="0" fontId="2" fillId="0" borderId="39" xfId="0" applyFont="1" applyBorder="1" applyAlignment="1" applyProtection="1">
      <alignment horizontal="left"/>
    </xf>
    <xf numFmtId="0" fontId="0" fillId="0" borderId="45" xfId="0" applyFont="1" applyBorder="1" applyAlignment="1" applyProtection="1">
      <alignment horizontal="left"/>
    </xf>
    <xf numFmtId="0" fontId="0" fillId="0" borderId="42" xfId="0" applyFont="1" applyBorder="1" applyAlignment="1" applyProtection="1">
      <alignment horizontal="left"/>
    </xf>
    <xf numFmtId="0" fontId="0" fillId="0" borderId="37" xfId="0" applyFont="1" applyBorder="1" applyAlignment="1" applyProtection="1">
      <alignment horizontal="left"/>
    </xf>
    <xf numFmtId="0" fontId="4" fillId="0" borderId="2" xfId="0" applyFont="1" applyBorder="1" applyAlignment="1" applyProtection="1">
      <alignment horizontal="left" wrapText="1"/>
    </xf>
    <xf numFmtId="0" fontId="4" fillId="0" borderId="3" xfId="0" applyFont="1" applyBorder="1" applyAlignment="1" applyProtection="1">
      <alignment horizontal="left" wrapText="1"/>
    </xf>
    <xf numFmtId="0" fontId="4" fillId="0" borderId="34" xfId="0" applyFont="1" applyBorder="1" applyAlignment="1" applyProtection="1">
      <alignment horizontal="left" wrapText="1"/>
    </xf>
    <xf numFmtId="0" fontId="0" fillId="0" borderId="34" xfId="0" applyBorder="1" applyAlignment="1" applyProtection="1">
      <alignment horizontal="left" wrapText="1"/>
    </xf>
    <xf numFmtId="0" fontId="15" fillId="0" borderId="0" xfId="0" applyFont="1" applyAlignment="1" applyProtection="1">
      <alignment horizontal="left" wrapText="1"/>
      <protection locked="0"/>
    </xf>
    <xf numFmtId="0" fontId="2" fillId="0" borderId="1" xfId="0" applyFont="1" applyFill="1" applyBorder="1" applyAlignment="1" applyProtection="1">
      <protection locked="0"/>
    </xf>
    <xf numFmtId="0" fontId="2" fillId="0" borderId="39" xfId="0" applyFont="1" applyFill="1" applyBorder="1" applyAlignment="1" applyProtection="1">
      <protection locked="0"/>
    </xf>
    <xf numFmtId="0" fontId="7" fillId="7" borderId="33" xfId="0" applyFont="1" applyFill="1" applyBorder="1" applyAlignment="1" applyProtection="1">
      <alignment horizontal="right"/>
      <protection locked="0"/>
    </xf>
    <xf numFmtId="0" fontId="7" fillId="7" borderId="1" xfId="0" applyFont="1" applyFill="1" applyBorder="1" applyAlignment="1" applyProtection="1">
      <alignment horizontal="right"/>
      <protection locked="0"/>
    </xf>
    <xf numFmtId="0" fontId="13" fillId="0" borderId="28" xfId="0" applyFont="1" applyFill="1" applyBorder="1" applyAlignment="1" applyProtection="1">
      <alignment horizontal="left"/>
      <protection locked="0"/>
    </xf>
    <xf numFmtId="0" fontId="2" fillId="0" borderId="1" xfId="0" applyFont="1" applyFill="1" applyBorder="1" applyAlignment="1" applyProtection="1">
      <alignment horizontal="left"/>
      <protection locked="0"/>
    </xf>
    <xf numFmtId="0" fontId="2" fillId="0" borderId="39" xfId="0" applyFont="1" applyFill="1" applyBorder="1" applyAlignment="1" applyProtection="1">
      <alignment horizontal="left"/>
      <protection locked="0"/>
    </xf>
    <xf numFmtId="0" fontId="7" fillId="0" borderId="33" xfId="0" applyFont="1" applyFill="1" applyBorder="1" applyAlignment="1" applyProtection="1">
      <alignment horizontal="right"/>
      <protection locked="0"/>
    </xf>
    <xf numFmtId="0" fontId="7" fillId="0" borderId="1" xfId="0" applyFont="1" applyFill="1" applyBorder="1" applyAlignment="1" applyProtection="1">
      <alignment horizontal="right"/>
      <protection locked="0"/>
    </xf>
    <xf numFmtId="0" fontId="0" fillId="0" borderId="2" xfId="0" applyFill="1" applyBorder="1" applyAlignment="1" applyProtection="1">
      <alignment horizontal="left" wrapText="1"/>
      <protection locked="0"/>
    </xf>
    <xf numFmtId="0" fontId="0" fillId="0" borderId="3" xfId="0" applyFill="1" applyBorder="1" applyAlignment="1" applyProtection="1">
      <alignment horizontal="left" wrapText="1"/>
      <protection locked="0"/>
    </xf>
    <xf numFmtId="0" fontId="0" fillId="0" borderId="34" xfId="0" applyFill="1" applyBorder="1" applyAlignment="1" applyProtection="1">
      <alignment horizontal="left" wrapText="1"/>
      <protection locked="0"/>
    </xf>
    <xf numFmtId="0" fontId="0" fillId="0" borderId="2" xfId="0" applyFont="1" applyFill="1" applyBorder="1" applyAlignment="1" applyProtection="1">
      <alignment horizontal="left"/>
      <protection locked="0"/>
    </xf>
    <xf numFmtId="0" fontId="0" fillId="0" borderId="3" xfId="0" applyFont="1" applyFill="1" applyBorder="1" applyAlignment="1" applyProtection="1">
      <alignment horizontal="left"/>
      <protection locked="0"/>
    </xf>
    <xf numFmtId="0" fontId="0" fillId="0" borderId="34" xfId="0" applyFont="1" applyFill="1" applyBorder="1" applyAlignment="1" applyProtection="1">
      <alignment horizontal="left"/>
      <protection locked="0"/>
    </xf>
    <xf numFmtId="0" fontId="7" fillId="7" borderId="40" xfId="0" applyFont="1" applyFill="1" applyBorder="1" applyAlignment="1" applyProtection="1">
      <alignment horizontal="right"/>
      <protection locked="0"/>
    </xf>
    <xf numFmtId="0" fontId="7" fillId="7" borderId="3" xfId="0" applyFont="1" applyFill="1" applyBorder="1" applyAlignment="1" applyProtection="1">
      <alignment horizontal="right"/>
      <protection locked="0"/>
    </xf>
    <xf numFmtId="0" fontId="7" fillId="7" borderId="4" xfId="0" applyFont="1" applyFill="1" applyBorder="1" applyAlignment="1" applyProtection="1">
      <alignment horizontal="right"/>
      <protection locked="0"/>
    </xf>
    <xf numFmtId="0" fontId="7" fillId="6" borderId="41" xfId="0" applyFont="1" applyFill="1" applyBorder="1" applyAlignment="1" applyProtection="1">
      <alignment horizontal="left"/>
      <protection locked="0"/>
    </xf>
    <xf numFmtId="0" fontId="7" fillId="6" borderId="42" xfId="0" applyFont="1" applyFill="1" applyBorder="1" applyAlignment="1" applyProtection="1">
      <alignment horizontal="left"/>
      <protection locked="0"/>
    </xf>
    <xf numFmtId="0" fontId="7" fillId="6" borderId="37" xfId="0" applyFont="1" applyFill="1" applyBorder="1" applyAlignment="1" applyProtection="1">
      <alignment horizontal="left"/>
      <protection locked="0"/>
    </xf>
    <xf numFmtId="0" fontId="0" fillId="0" borderId="50" xfId="0" applyFill="1" applyBorder="1" applyAlignment="1" applyProtection="1">
      <alignment horizontal="center"/>
      <protection locked="0"/>
    </xf>
    <xf numFmtId="0" fontId="0" fillId="0" borderId="51" xfId="0" applyFill="1" applyBorder="1" applyAlignment="1" applyProtection="1">
      <alignment horizontal="center"/>
      <protection locked="0"/>
    </xf>
    <xf numFmtId="0" fontId="0" fillId="0" borderId="52" xfId="0" applyFill="1" applyBorder="1" applyAlignment="1" applyProtection="1">
      <alignment horizontal="center"/>
      <protection locked="0"/>
    </xf>
    <xf numFmtId="0" fontId="0" fillId="0" borderId="2" xfId="0" applyFont="1" applyFill="1" applyBorder="1" applyAlignment="1" applyProtection="1">
      <alignment horizontal="left" wrapText="1"/>
      <protection locked="0"/>
    </xf>
    <xf numFmtId="0" fontId="0" fillId="0" borderId="4" xfId="0" applyFont="1" applyFill="1" applyBorder="1" applyAlignment="1" applyProtection="1">
      <alignment horizontal="left" wrapText="1"/>
      <protection locked="0"/>
    </xf>
    <xf numFmtId="0" fontId="0" fillId="0" borderId="4" xfId="0" applyFill="1" applyBorder="1" applyAlignment="1" applyProtection="1">
      <alignment horizontal="left" wrapTex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os\Business\S&#252;dcom\Dokumentation\Berechnungen\T60%20Auditorio%20gran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60, %Alcons"/>
      <sheetName val="coef_absorción"/>
      <sheetName val="Base de Datos"/>
    </sheetNames>
    <sheetDataSet>
      <sheetData sheetId="0"/>
      <sheetData sheetId="1"/>
      <sheetData sheetId="2">
        <row r="4">
          <cell r="B4" t="str">
            <v>Agua quieta</v>
          </cell>
          <cell r="C4">
            <v>0.01</v>
          </cell>
          <cell r="D4">
            <v>0.01</v>
          </cell>
          <cell r="E4">
            <v>0.01</v>
          </cell>
          <cell r="F4">
            <v>0.01</v>
          </cell>
          <cell r="G4">
            <v>0.02</v>
          </cell>
          <cell r="H4">
            <v>0.02</v>
          </cell>
        </row>
        <row r="5">
          <cell r="B5" t="str">
            <v>Alfombra 0,5cm</v>
          </cell>
          <cell r="C5">
            <v>0.04</v>
          </cell>
          <cell r="D5" t="str">
            <v>---</v>
          </cell>
          <cell r="E5">
            <v>0.15</v>
          </cell>
          <cell r="F5" t="str">
            <v>---</v>
          </cell>
          <cell r="G5">
            <v>0.52</v>
          </cell>
          <cell r="H5" t="str">
            <v>---</v>
          </cell>
        </row>
        <row r="6">
          <cell r="B6" t="str">
            <v>Alfombra de fibra vegetal</v>
          </cell>
          <cell r="C6">
            <v>0.08</v>
          </cell>
          <cell r="D6" t="str">
            <v>---</v>
          </cell>
          <cell r="E6">
            <v>0.17</v>
          </cell>
          <cell r="F6" t="str">
            <v>---</v>
          </cell>
          <cell r="G6">
            <v>0.3</v>
          </cell>
          <cell r="H6" t="str">
            <v>---</v>
          </cell>
        </row>
        <row r="7">
          <cell r="B7" t="str">
            <v>Alfombra de lana acolchada 1,5cm</v>
          </cell>
          <cell r="C7">
            <v>0.2</v>
          </cell>
          <cell r="D7">
            <v>0.25</v>
          </cell>
          <cell r="E7">
            <v>0.35</v>
          </cell>
          <cell r="F7">
            <v>0.4</v>
          </cell>
          <cell r="G7">
            <v>0.5</v>
          </cell>
          <cell r="H7">
            <v>0.75</v>
          </cell>
        </row>
        <row r="8">
          <cell r="B8" t="str">
            <v>Alfombra de lana sobre hormigón 1cm</v>
          </cell>
          <cell r="C8">
            <v>0.09</v>
          </cell>
          <cell r="D8">
            <v>0.08</v>
          </cell>
          <cell r="E8">
            <v>0.21</v>
          </cell>
          <cell r="F8">
            <v>0.26</v>
          </cell>
          <cell r="G8">
            <v>0.27</v>
          </cell>
          <cell r="H8">
            <v>0.37</v>
          </cell>
        </row>
        <row r="9">
          <cell r="B9" t="str">
            <v>Arena húmeda</v>
          </cell>
          <cell r="C9">
            <v>0.05</v>
          </cell>
          <cell r="D9">
            <v>0.05</v>
          </cell>
          <cell r="E9">
            <v>0.05</v>
          </cell>
          <cell r="F9">
            <v>0.05</v>
          </cell>
          <cell r="G9">
            <v>0.05</v>
          </cell>
          <cell r="H9">
            <v>0.15</v>
          </cell>
        </row>
        <row r="10">
          <cell r="B10" t="str">
            <v>Arena seca</v>
          </cell>
          <cell r="C10">
            <v>0.15</v>
          </cell>
          <cell r="D10">
            <v>0.35</v>
          </cell>
          <cell r="E10">
            <v>0.4</v>
          </cell>
          <cell r="F10">
            <v>0.5</v>
          </cell>
          <cell r="G10">
            <v>0.55000000000000004</v>
          </cell>
          <cell r="H10">
            <v>0.8</v>
          </cell>
        </row>
        <row r="11">
          <cell r="B11" t="str">
            <v>Capa de nieve recién caída 6cm</v>
          </cell>
          <cell r="C11" t="str">
            <v>---</v>
          </cell>
          <cell r="D11">
            <v>0.95</v>
          </cell>
          <cell r="E11" t="str">
            <v>---</v>
          </cell>
          <cell r="F11">
            <v>0.95</v>
          </cell>
          <cell r="G11" t="str">
            <v>---</v>
          </cell>
          <cell r="H11">
            <v>0.98</v>
          </cell>
        </row>
        <row r="13">
          <cell r="B13" t="str">
            <v>Contrachapado de madera sobre pared</v>
          </cell>
          <cell r="C13">
            <v>0.05</v>
          </cell>
          <cell r="D13">
            <v>0.06</v>
          </cell>
          <cell r="E13">
            <v>0.06</v>
          </cell>
          <cell r="F13">
            <v>0.1</v>
          </cell>
          <cell r="G13">
            <v>0.1</v>
          </cell>
          <cell r="H13">
            <v>0.1</v>
          </cell>
        </row>
        <row r="14">
          <cell r="B14" t="str">
            <v>Corcho en General</v>
          </cell>
          <cell r="C14">
            <v>0.12</v>
          </cell>
          <cell r="D14">
            <v>0.27</v>
          </cell>
          <cell r="E14">
            <v>0.72</v>
          </cell>
          <cell r="F14">
            <v>0.79</v>
          </cell>
          <cell r="G14">
            <v>0.76</v>
          </cell>
          <cell r="H14">
            <v>0.77</v>
          </cell>
        </row>
        <row r="15">
          <cell r="B15" t="str">
            <v>Corcho sobre cemento</v>
          </cell>
          <cell r="C15">
            <v>0.02</v>
          </cell>
          <cell r="D15">
            <v>0.02</v>
          </cell>
          <cell r="E15">
            <v>0.02</v>
          </cell>
          <cell r="F15">
            <v>0.03</v>
          </cell>
          <cell r="G15">
            <v>0.04</v>
          </cell>
          <cell r="H15">
            <v>0.04</v>
          </cell>
        </row>
        <row r="16">
          <cell r="B16" t="str">
            <v>Enlucido de yeso sobre pared</v>
          </cell>
          <cell r="C16">
            <v>0.01</v>
          </cell>
          <cell r="D16">
            <v>0.01</v>
          </cell>
          <cell r="E16">
            <v>0.02</v>
          </cell>
          <cell r="F16">
            <v>0.03</v>
          </cell>
          <cell r="G16">
            <v>0.04</v>
          </cell>
          <cell r="H16">
            <v>0.05</v>
          </cell>
        </row>
        <row r="17">
          <cell r="B17" t="str">
            <v>Enlucido rugoso de cemento</v>
          </cell>
          <cell r="C17">
            <v>0.02</v>
          </cell>
          <cell r="D17">
            <v>0.02</v>
          </cell>
          <cell r="E17">
            <v>0.06</v>
          </cell>
          <cell r="F17">
            <v>0.08</v>
          </cell>
          <cell r="G17">
            <v>0.04</v>
          </cell>
          <cell r="H17">
            <v>0.05</v>
          </cell>
        </row>
        <row r="18">
          <cell r="B18" t="str">
            <v>Entablado de madera de 2,5cm</v>
          </cell>
          <cell r="C18">
            <v>0.19</v>
          </cell>
          <cell r="D18">
            <v>0.16</v>
          </cell>
          <cell r="E18">
            <v>0.13</v>
          </cell>
          <cell r="F18">
            <v>0.1</v>
          </cell>
          <cell r="G18">
            <v>0.06</v>
          </cell>
          <cell r="H18">
            <v>0.06</v>
          </cell>
        </row>
        <row r="20">
          <cell r="B20" t="str">
            <v>Fibra de Vidrio 10cm</v>
          </cell>
          <cell r="C20">
            <v>0.75</v>
          </cell>
          <cell r="D20">
            <v>0.96</v>
          </cell>
          <cell r="E20">
            <v>0.96</v>
          </cell>
          <cell r="F20">
            <v>0.9</v>
          </cell>
          <cell r="G20">
            <v>0.84</v>
          </cell>
          <cell r="H20">
            <v>0.74</v>
          </cell>
        </row>
        <row r="21">
          <cell r="B21" t="str">
            <v>Fibra de Vidrio 4cm</v>
          </cell>
          <cell r="C21">
            <v>0.2</v>
          </cell>
          <cell r="D21">
            <v>0.35</v>
          </cell>
          <cell r="E21">
            <v>0.65</v>
          </cell>
          <cell r="F21">
            <v>0.8</v>
          </cell>
          <cell r="G21">
            <v>0.75</v>
          </cell>
          <cell r="H21">
            <v>0.65</v>
          </cell>
        </row>
        <row r="22">
          <cell r="B22" t="str">
            <v>Fieltro 2,5cm</v>
          </cell>
          <cell r="C22">
            <v>0.13</v>
          </cell>
          <cell r="D22">
            <v>0.41</v>
          </cell>
          <cell r="E22">
            <v>0.56000000000000005</v>
          </cell>
          <cell r="F22">
            <v>0.69</v>
          </cell>
          <cell r="G22">
            <v>0.65</v>
          </cell>
          <cell r="H22">
            <v>0.49</v>
          </cell>
        </row>
        <row r="23">
          <cell r="B23" t="str">
            <v>Goma de 0,5cm sobre cemento</v>
          </cell>
          <cell r="C23">
            <v>0.04</v>
          </cell>
          <cell r="D23">
            <v>0.04</v>
          </cell>
          <cell r="E23">
            <v>0.08</v>
          </cell>
          <cell r="F23">
            <v>0.12</v>
          </cell>
          <cell r="G23">
            <v>0.03</v>
          </cell>
          <cell r="H23">
            <v>0.1</v>
          </cell>
        </row>
        <row r="24">
          <cell r="B24" t="str">
            <v>Hormigón enlucido con cemento</v>
          </cell>
          <cell r="C24">
            <v>0.01</v>
          </cell>
          <cell r="D24">
            <v>0.01</v>
          </cell>
          <cell r="E24">
            <v>0.02</v>
          </cell>
          <cell r="F24">
            <v>0.02</v>
          </cell>
          <cell r="G24">
            <v>0.02</v>
          </cell>
          <cell r="H24">
            <v>0.01</v>
          </cell>
        </row>
        <row r="25">
          <cell r="B25" t="str">
            <v>Hormigón pintado</v>
          </cell>
          <cell r="C25">
            <v>0.01</v>
          </cell>
          <cell r="D25">
            <v>0.01</v>
          </cell>
          <cell r="E25">
            <v>0.01</v>
          </cell>
          <cell r="F25">
            <v>0.02</v>
          </cell>
          <cell r="G25">
            <v>0.02</v>
          </cell>
          <cell r="H25">
            <v>0.02</v>
          </cell>
        </row>
        <row r="26">
          <cell r="B26" t="str">
            <v>Hormigón, sin pintar</v>
          </cell>
          <cell r="C26">
            <v>0.01</v>
          </cell>
          <cell r="D26">
            <v>0.01</v>
          </cell>
          <cell r="E26">
            <v>0.01</v>
          </cell>
          <cell r="F26">
            <v>0.02</v>
          </cell>
          <cell r="G26">
            <v>0.02</v>
          </cell>
          <cell r="H26">
            <v>0.03</v>
          </cell>
        </row>
        <row r="28">
          <cell r="B28" t="str">
            <v>Lana de vidrio con Papel, 9cm</v>
          </cell>
          <cell r="C28">
            <v>0.2</v>
          </cell>
          <cell r="D28">
            <v>0.43</v>
          </cell>
          <cell r="E28">
            <v>0.62</v>
          </cell>
          <cell r="F28">
            <v>0.53</v>
          </cell>
          <cell r="G28">
            <v>0.3</v>
          </cell>
          <cell r="H28">
            <v>0.12</v>
          </cell>
        </row>
        <row r="29">
          <cell r="B29" t="str">
            <v>Lana de vidrio de 6cm</v>
          </cell>
          <cell r="C29">
            <v>0.09</v>
          </cell>
          <cell r="D29">
            <v>0.39</v>
          </cell>
          <cell r="E29">
            <v>0.61</v>
          </cell>
          <cell r="F29">
            <v>0.74</v>
          </cell>
          <cell r="G29">
            <v>0.83</v>
          </cell>
          <cell r="H29">
            <v>0.87</v>
          </cell>
        </row>
        <row r="30">
          <cell r="B30" t="str">
            <v>Lana de vidrio de 9cm</v>
          </cell>
          <cell r="C30">
            <v>0.32</v>
          </cell>
          <cell r="D30">
            <v>0.4</v>
          </cell>
          <cell r="E30">
            <v>0.51</v>
          </cell>
          <cell r="F30">
            <v>0.6</v>
          </cell>
          <cell r="G30">
            <v>0.65</v>
          </cell>
          <cell r="H30">
            <v>0.6</v>
          </cell>
        </row>
        <row r="31">
          <cell r="B31" t="str">
            <v>Lana mineral a granel de 10cm</v>
          </cell>
          <cell r="C31">
            <v>0.42</v>
          </cell>
          <cell r="D31">
            <v>0.66</v>
          </cell>
          <cell r="E31">
            <v>0.73</v>
          </cell>
          <cell r="F31">
            <v>0.74</v>
          </cell>
          <cell r="G31">
            <v>0.76</v>
          </cell>
          <cell r="H31">
            <v>0.8</v>
          </cell>
        </row>
        <row r="32">
          <cell r="B32" t="str">
            <v>Lana Mineral con cubierta de metal perforado con 10 aberturas de 1,5mm de diámetro a 1cm³</v>
          </cell>
          <cell r="C32">
            <v>0.09</v>
          </cell>
          <cell r="D32">
            <v>0.25</v>
          </cell>
          <cell r="E32">
            <v>0.48</v>
          </cell>
          <cell r="F32">
            <v>0.66</v>
          </cell>
          <cell r="G32">
            <v>0.56999999999999995</v>
          </cell>
          <cell r="H32">
            <v>0.47</v>
          </cell>
        </row>
        <row r="33">
          <cell r="B33" t="str">
            <v>Lana mineral de 10cm</v>
          </cell>
          <cell r="C33">
            <v>0.42</v>
          </cell>
          <cell r="D33">
            <v>0.66</v>
          </cell>
          <cell r="E33">
            <v>0.73</v>
          </cell>
          <cell r="F33">
            <v>0.74</v>
          </cell>
          <cell r="G33">
            <v>0.76</v>
          </cell>
          <cell r="H33">
            <v>0.79</v>
          </cell>
        </row>
        <row r="34">
          <cell r="B34" t="str">
            <v>Lana mineral de 2,5cm</v>
          </cell>
          <cell r="C34">
            <v>0.06</v>
          </cell>
          <cell r="D34">
            <v>0.19</v>
          </cell>
          <cell r="E34">
            <v>0.39</v>
          </cell>
          <cell r="F34">
            <v>0.54</v>
          </cell>
          <cell r="G34">
            <v>0.59</v>
          </cell>
          <cell r="H34">
            <v>0.75</v>
          </cell>
        </row>
        <row r="36">
          <cell r="B36" t="str">
            <v>Linóleo sobre cemento</v>
          </cell>
          <cell r="C36">
            <v>0.03</v>
          </cell>
          <cell r="D36">
            <v>0.03</v>
          </cell>
          <cell r="E36">
            <v>0.03</v>
          </cell>
          <cell r="F36">
            <v>0.04</v>
          </cell>
          <cell r="G36">
            <v>0.04</v>
          </cell>
          <cell r="H36">
            <v>0.04</v>
          </cell>
        </row>
        <row r="37">
          <cell r="B37" t="str">
            <v>Madera Barnizada</v>
          </cell>
          <cell r="C37">
            <v>0.05</v>
          </cell>
          <cell r="D37" t="str">
            <v>---</v>
          </cell>
          <cell r="E37">
            <v>0.03</v>
          </cell>
          <cell r="F37" t="str">
            <v>---</v>
          </cell>
          <cell r="G37">
            <v>0.03</v>
          </cell>
          <cell r="H37" t="str">
            <v>---</v>
          </cell>
        </row>
        <row r="38">
          <cell r="B38" t="str">
            <v>Madera de 0,3cm con 5cm de cámara</v>
          </cell>
          <cell r="C38">
            <v>0.25</v>
          </cell>
          <cell r="D38">
            <v>0.34</v>
          </cell>
          <cell r="E38">
            <v>0.18</v>
          </cell>
          <cell r="F38">
            <v>0.1</v>
          </cell>
          <cell r="G38">
            <v>0.1</v>
          </cell>
          <cell r="H38">
            <v>0.06</v>
          </cell>
        </row>
        <row r="39">
          <cell r="B39" t="str">
            <v>Madera de 0,3cm con 5cm de cámara rellena de fibra de vidrio</v>
          </cell>
          <cell r="C39">
            <v>0.61</v>
          </cell>
          <cell r="D39">
            <v>0.65</v>
          </cell>
          <cell r="E39">
            <v>0.24</v>
          </cell>
          <cell r="F39">
            <v>0.12</v>
          </cell>
          <cell r="G39">
            <v>0.1</v>
          </cell>
          <cell r="H39">
            <v>0.06</v>
          </cell>
        </row>
        <row r="40">
          <cell r="B40" t="str">
            <v>Madera de 1,5cm barnizada con 5cm de cámara</v>
          </cell>
          <cell r="C40">
            <v>0.1</v>
          </cell>
          <cell r="D40">
            <v>0.11</v>
          </cell>
          <cell r="E40">
            <v>0.1</v>
          </cell>
          <cell r="F40">
            <v>0.08</v>
          </cell>
          <cell r="G40">
            <v>0.08</v>
          </cell>
          <cell r="H40">
            <v>0.01</v>
          </cell>
        </row>
        <row r="41">
          <cell r="B41" t="str">
            <v>Madera Maciza y pulida de 5cm (aprox)</v>
          </cell>
          <cell r="C41">
            <v>0.1</v>
          </cell>
          <cell r="D41">
            <v>0.4</v>
          </cell>
          <cell r="E41">
            <v>0.05</v>
          </cell>
          <cell r="F41">
            <v>0.04</v>
          </cell>
          <cell r="G41">
            <v>0.04</v>
          </cell>
          <cell r="H41">
            <v>0.04</v>
          </cell>
        </row>
        <row r="42">
          <cell r="B42" t="str">
            <v>Madera, plataforma con gran espacio de aire debajo</v>
          </cell>
          <cell r="C42">
            <v>0.4</v>
          </cell>
          <cell r="D42">
            <v>0.3</v>
          </cell>
          <cell r="E42">
            <v>0.2</v>
          </cell>
          <cell r="F42">
            <v>0.17</v>
          </cell>
          <cell r="G42">
            <v>0.15</v>
          </cell>
          <cell r="H42">
            <v>0.1</v>
          </cell>
        </row>
        <row r="43">
          <cell r="B43" t="str">
            <v>Mármol</v>
          </cell>
          <cell r="C43">
            <v>0.01</v>
          </cell>
          <cell r="D43">
            <v>0.01</v>
          </cell>
          <cell r="E43">
            <v>0.01</v>
          </cell>
          <cell r="F43">
            <v>0.02</v>
          </cell>
          <cell r="G43">
            <v>0.02</v>
          </cell>
          <cell r="H43">
            <v>0.01</v>
          </cell>
        </row>
        <row r="45">
          <cell r="B45" t="str">
            <v>Panel de fibra de madera</v>
          </cell>
          <cell r="C45">
            <v>0.47</v>
          </cell>
          <cell r="D45">
            <v>0.52</v>
          </cell>
          <cell r="E45">
            <v>0.5</v>
          </cell>
          <cell r="F45">
            <v>0.55000000000000004</v>
          </cell>
          <cell r="G45">
            <v>0.57999999999999996</v>
          </cell>
          <cell r="H45">
            <v>0.63</v>
          </cell>
        </row>
        <row r="46">
          <cell r="B46" t="str">
            <v>Panel perforado de fibra-yeso</v>
          </cell>
          <cell r="C46">
            <v>0.4</v>
          </cell>
          <cell r="D46">
            <v>0.8</v>
          </cell>
          <cell r="E46">
            <v>0.62</v>
          </cell>
          <cell r="F46">
            <v>0.92</v>
          </cell>
          <cell r="G46">
            <v>0.81</v>
          </cell>
          <cell r="H46" t="str">
            <v>---</v>
          </cell>
        </row>
        <row r="47">
          <cell r="B47" t="str">
            <v>Papel mural grueso</v>
          </cell>
          <cell r="C47">
            <v>0.02</v>
          </cell>
          <cell r="D47" t="str">
            <v>---</v>
          </cell>
          <cell r="E47">
            <v>0.04</v>
          </cell>
          <cell r="F47" t="str">
            <v>---</v>
          </cell>
          <cell r="G47">
            <v>7.0000000000000007E-2</v>
          </cell>
          <cell r="H47" t="str">
            <v>---</v>
          </cell>
        </row>
        <row r="48">
          <cell r="B48" t="str">
            <v>Pared de Ladrillo, pintada</v>
          </cell>
          <cell r="C48">
            <v>0.01</v>
          </cell>
          <cell r="D48">
            <v>0.01</v>
          </cell>
          <cell r="E48">
            <v>0.02</v>
          </cell>
          <cell r="F48">
            <v>0.02</v>
          </cell>
          <cell r="G48">
            <v>0.02</v>
          </cell>
          <cell r="H48">
            <v>0.02</v>
          </cell>
        </row>
        <row r="49">
          <cell r="B49" t="str">
            <v>Pared de Ladrillo, sin pintar</v>
          </cell>
          <cell r="C49">
            <v>0.02</v>
          </cell>
          <cell r="D49">
            <v>0.02</v>
          </cell>
          <cell r="E49">
            <v>0.03</v>
          </cell>
          <cell r="F49">
            <v>0.04</v>
          </cell>
          <cell r="G49">
            <v>0.05</v>
          </cell>
          <cell r="H49">
            <v>0.05</v>
          </cell>
        </row>
        <row r="50">
          <cell r="B50" t="str">
            <v>Parquet</v>
          </cell>
          <cell r="C50">
            <v>0.04</v>
          </cell>
          <cell r="D50">
            <v>0.04</v>
          </cell>
          <cell r="E50">
            <v>7.0000000000000007E-2</v>
          </cell>
          <cell r="F50">
            <v>0.06</v>
          </cell>
          <cell r="G50">
            <v>0.06</v>
          </cell>
          <cell r="H50">
            <v>7.0000000000000007E-2</v>
          </cell>
        </row>
        <row r="51">
          <cell r="B51" t="str">
            <v>Parquet 2cm puesto sobre asfalto</v>
          </cell>
          <cell r="C51">
            <v>0.04</v>
          </cell>
          <cell r="D51">
            <v>0.04</v>
          </cell>
          <cell r="E51">
            <v>7.0000000000000007E-2</v>
          </cell>
          <cell r="F51">
            <v>0.06</v>
          </cell>
          <cell r="G51">
            <v>0.06</v>
          </cell>
          <cell r="H51">
            <v>7.0000000000000007E-2</v>
          </cell>
        </row>
        <row r="52">
          <cell r="B52" t="str">
            <v>Placa de madera de 1,6cm sobre listones de 4cm</v>
          </cell>
          <cell r="C52">
            <v>0.18</v>
          </cell>
          <cell r="D52">
            <v>0.12</v>
          </cell>
          <cell r="E52">
            <v>0.1</v>
          </cell>
          <cell r="F52">
            <v>0.09</v>
          </cell>
          <cell r="G52">
            <v>0.08</v>
          </cell>
          <cell r="H52">
            <v>7.0000000000000007E-2</v>
          </cell>
        </row>
        <row r="53">
          <cell r="B53" t="str">
            <v>Rejilla de Ventilación</v>
          </cell>
          <cell r="C53">
            <v>0.5</v>
          </cell>
          <cell r="D53">
            <v>0.5</v>
          </cell>
          <cell r="E53">
            <v>0.4</v>
          </cell>
          <cell r="F53">
            <v>0.35</v>
          </cell>
          <cell r="G53">
            <v>0.3</v>
          </cell>
          <cell r="H53">
            <v>0.25</v>
          </cell>
        </row>
        <row r="54">
          <cell r="B54" t="str">
            <v>Revoque de cal</v>
          </cell>
          <cell r="C54">
            <v>0.03</v>
          </cell>
          <cell r="D54">
            <v>0.03</v>
          </cell>
          <cell r="E54">
            <v>0.03</v>
          </cell>
          <cell r="F54">
            <v>0.03</v>
          </cell>
          <cell r="G54">
            <v>0.04</v>
          </cell>
          <cell r="H54">
            <v>7.0000000000000007E-2</v>
          </cell>
        </row>
        <row r="55">
          <cell r="B55" t="str">
            <v>Revoque, yeso sobre ladrillos huecos, pintado o sin pintar</v>
          </cell>
          <cell r="C55">
            <v>0.02</v>
          </cell>
          <cell r="D55">
            <v>0.02</v>
          </cell>
          <cell r="E55">
            <v>0.02</v>
          </cell>
          <cell r="F55">
            <v>0.03</v>
          </cell>
          <cell r="G55">
            <v>0.04</v>
          </cell>
          <cell r="H55">
            <v>0.04</v>
          </cell>
        </row>
        <row r="57">
          <cell r="B57" t="str">
            <v>Tela algodón, 0,5 Kg/m2, colgando sobre la pared</v>
          </cell>
          <cell r="C57">
            <v>0.04</v>
          </cell>
          <cell r="D57" t="str">
            <v>---</v>
          </cell>
          <cell r="E57">
            <v>0.35</v>
          </cell>
          <cell r="F57" t="str">
            <v>---</v>
          </cell>
          <cell r="G57">
            <v>0.32</v>
          </cell>
          <cell r="H57" t="str">
            <v>---</v>
          </cell>
        </row>
        <row r="58">
          <cell r="B58" t="str">
            <v>Tela algodón, plegada a un 50%</v>
          </cell>
          <cell r="C58">
            <v>0.04</v>
          </cell>
          <cell r="D58">
            <v>0.23</v>
          </cell>
          <cell r="E58">
            <v>0.4</v>
          </cell>
          <cell r="F58">
            <v>0.56999999999999995</v>
          </cell>
          <cell r="G58">
            <v>0.53</v>
          </cell>
          <cell r="H58">
            <v>0.4</v>
          </cell>
        </row>
        <row r="59">
          <cell r="B59" t="str">
            <v>Tela algodón, plegada a un 75%</v>
          </cell>
          <cell r="C59">
            <v>7.0000000000000007E-2</v>
          </cell>
          <cell r="D59">
            <v>0.31</v>
          </cell>
          <cell r="E59">
            <v>0.49</v>
          </cell>
          <cell r="F59">
            <v>0.81</v>
          </cell>
          <cell r="G59">
            <v>0.66</v>
          </cell>
          <cell r="H59">
            <v>0.54</v>
          </cell>
        </row>
        <row r="60">
          <cell r="B60" t="str">
            <v>Tela aterciopelada extendida 0,35 Kg/m2</v>
          </cell>
          <cell r="C60">
            <v>0.04</v>
          </cell>
          <cell r="D60">
            <v>0.05</v>
          </cell>
          <cell r="E60">
            <v>0.11</v>
          </cell>
          <cell r="F60">
            <v>0.18</v>
          </cell>
          <cell r="G60">
            <v>0.3</v>
          </cell>
          <cell r="H60">
            <v>0.35</v>
          </cell>
        </row>
        <row r="61">
          <cell r="B61" t="str">
            <v>Tela aterciopelada extendida 0,45 Kg/m2</v>
          </cell>
          <cell r="C61">
            <v>0.05</v>
          </cell>
          <cell r="D61">
            <v>7.0000000000000007E-2</v>
          </cell>
          <cell r="E61">
            <v>0.13</v>
          </cell>
          <cell r="F61">
            <v>0.22</v>
          </cell>
          <cell r="G61">
            <v>0.32</v>
          </cell>
          <cell r="H61">
            <v>0.35</v>
          </cell>
        </row>
        <row r="62">
          <cell r="B62" t="str">
            <v>Tela aterciopelada extendida 0,6 Kg/m2</v>
          </cell>
          <cell r="C62">
            <v>0.05</v>
          </cell>
          <cell r="D62">
            <v>0.12</v>
          </cell>
          <cell r="E62">
            <v>0.35</v>
          </cell>
          <cell r="F62">
            <v>0.48</v>
          </cell>
          <cell r="G62">
            <v>0.38</v>
          </cell>
          <cell r="H62">
            <v>0.36</v>
          </cell>
        </row>
        <row r="63">
          <cell r="B63" t="str">
            <v>Tela aterciopelada plegada a la mitad 0,45 Kg/m2</v>
          </cell>
          <cell r="C63">
            <v>7.0000000000000007E-2</v>
          </cell>
          <cell r="D63">
            <v>0.31</v>
          </cell>
          <cell r="E63">
            <v>0.49</v>
          </cell>
          <cell r="F63">
            <v>0.75</v>
          </cell>
          <cell r="G63">
            <v>0.7</v>
          </cell>
          <cell r="H63">
            <v>0.6</v>
          </cell>
        </row>
        <row r="64">
          <cell r="B64" t="str">
            <v>Tela aterciopelada plegada a la mitad 0,6 Kg/m2</v>
          </cell>
          <cell r="C64">
            <v>0.14000000000000001</v>
          </cell>
          <cell r="D64">
            <v>0.35</v>
          </cell>
          <cell r="E64">
            <v>0.55000000000000004</v>
          </cell>
          <cell r="F64">
            <v>0.75</v>
          </cell>
          <cell r="G64">
            <v>0.7</v>
          </cell>
          <cell r="H64">
            <v>0.6</v>
          </cell>
        </row>
        <row r="65">
          <cell r="B65" t="str">
            <v>Thermocon de 2,5 cm</v>
          </cell>
          <cell r="C65">
            <v>0.1</v>
          </cell>
          <cell r="D65">
            <v>0.28999999999999998</v>
          </cell>
          <cell r="E65">
            <v>7.0000000000000007E-2</v>
          </cell>
          <cell r="F65">
            <v>0.98</v>
          </cell>
          <cell r="G65">
            <v>1</v>
          </cell>
          <cell r="H65">
            <v>0.98</v>
          </cell>
        </row>
        <row r="67">
          <cell r="B67" t="str">
            <v>Vidrio de Espejo</v>
          </cell>
          <cell r="C67">
            <v>3.5000000000000003E-2</v>
          </cell>
          <cell r="D67">
            <v>2.5000000000000001E-2</v>
          </cell>
          <cell r="E67">
            <v>7.0000000000000007E-2</v>
          </cell>
          <cell r="F67">
            <v>0.98</v>
          </cell>
          <cell r="G67">
            <v>1</v>
          </cell>
          <cell r="H67">
            <v>0.98</v>
          </cell>
        </row>
        <row r="68">
          <cell r="B68" t="str">
            <v>Vidrio de Láminas de 0,3 a 0,5 cm de espesor</v>
          </cell>
          <cell r="C68">
            <v>0.18</v>
          </cell>
          <cell r="D68">
            <v>0.06</v>
          </cell>
          <cell r="E68">
            <v>0.04</v>
          </cell>
          <cell r="F68">
            <v>0.03</v>
          </cell>
          <cell r="G68">
            <v>0.02</v>
          </cell>
          <cell r="H68">
            <v>0.02</v>
          </cell>
        </row>
        <row r="69">
          <cell r="B69" t="str">
            <v>Vidrio de ventanas normal</v>
          </cell>
          <cell r="C69">
            <v>3.5000000000000003E-2</v>
          </cell>
          <cell r="D69">
            <v>0.04</v>
          </cell>
          <cell r="E69">
            <v>2.7E-2</v>
          </cell>
          <cell r="F69">
            <v>0.03</v>
          </cell>
          <cell r="G69">
            <v>0.02</v>
          </cell>
          <cell r="H69">
            <v>0.02</v>
          </cell>
        </row>
        <row r="71">
          <cell r="B71" t="str">
            <v>FONAC Eco 35</v>
          </cell>
          <cell r="C71">
            <v>0.11</v>
          </cell>
          <cell r="D71">
            <v>0.24</v>
          </cell>
          <cell r="E71">
            <v>0.43</v>
          </cell>
          <cell r="F71">
            <v>0.64</v>
          </cell>
          <cell r="G71">
            <v>0.68</v>
          </cell>
          <cell r="H71">
            <v>0.6</v>
          </cell>
        </row>
        <row r="72">
          <cell r="B72" t="str">
            <v>FONAC Eco 50</v>
          </cell>
          <cell r="C72">
            <v>0.13</v>
          </cell>
          <cell r="D72">
            <v>0.38</v>
          </cell>
          <cell r="E72">
            <v>0.7</v>
          </cell>
          <cell r="F72">
            <v>0.91</v>
          </cell>
          <cell r="G72">
            <v>0.76</v>
          </cell>
          <cell r="H72">
            <v>0.7</v>
          </cell>
        </row>
        <row r="73">
          <cell r="B73" t="str">
            <v>FONAC Eco 75</v>
          </cell>
          <cell r="C73">
            <v>0.2</v>
          </cell>
          <cell r="D73">
            <v>0.67</v>
          </cell>
          <cell r="E73">
            <v>0.86</v>
          </cell>
          <cell r="F73">
            <v>0.98</v>
          </cell>
          <cell r="G73">
            <v>0.88</v>
          </cell>
          <cell r="H73">
            <v>0.7</v>
          </cell>
        </row>
        <row r="75">
          <cell r="B75" t="str">
            <v>FONAC Pro 35</v>
          </cell>
          <cell r="C75">
            <v>0.1</v>
          </cell>
          <cell r="D75">
            <v>0.19</v>
          </cell>
          <cell r="E75">
            <v>0.39</v>
          </cell>
          <cell r="F75">
            <v>0.82</v>
          </cell>
          <cell r="G75">
            <v>0.97</v>
          </cell>
          <cell r="H75">
            <v>0.8</v>
          </cell>
        </row>
        <row r="76">
          <cell r="B76" t="str">
            <v>FONAC Pro 50</v>
          </cell>
          <cell r="C76">
            <v>0.15</v>
          </cell>
          <cell r="D76">
            <v>0.36</v>
          </cell>
          <cell r="E76">
            <v>0.78</v>
          </cell>
          <cell r="F76">
            <v>0.84</v>
          </cell>
          <cell r="G76">
            <v>0.8</v>
          </cell>
          <cell r="H76">
            <v>0.72</v>
          </cell>
        </row>
        <row r="77">
          <cell r="B77" t="str">
            <v>FONAC Pro 75</v>
          </cell>
          <cell r="C77">
            <v>0.18</v>
          </cell>
          <cell r="D77">
            <v>0.6</v>
          </cell>
          <cell r="E77">
            <v>0.88</v>
          </cell>
          <cell r="F77">
            <v>0.93</v>
          </cell>
          <cell r="G77">
            <v>0.76</v>
          </cell>
          <cell r="H77">
            <v>0.8</v>
          </cell>
        </row>
        <row r="79">
          <cell r="B79" t="str">
            <v>FONAC Class 1 35</v>
          </cell>
          <cell r="C79">
            <v>0.05</v>
          </cell>
          <cell r="D79">
            <v>0.14000000000000001</v>
          </cell>
          <cell r="E79">
            <v>0.42</v>
          </cell>
          <cell r="F79">
            <v>0.64</v>
          </cell>
          <cell r="G79">
            <v>0.81</v>
          </cell>
          <cell r="H79">
            <v>0.8</v>
          </cell>
        </row>
        <row r="80">
          <cell r="B80" t="str">
            <v>FONAC Class 1 50</v>
          </cell>
          <cell r="C80">
            <v>0.19</v>
          </cell>
          <cell r="D80">
            <v>0.32</v>
          </cell>
          <cell r="E80">
            <v>0.73</v>
          </cell>
          <cell r="F80">
            <v>0.97</v>
          </cell>
          <cell r="G80">
            <v>0.82</v>
          </cell>
          <cell r="H80">
            <v>0.7</v>
          </cell>
        </row>
        <row r="82">
          <cell r="B82" t="str">
            <v>FONAC Stone</v>
          </cell>
          <cell r="C82">
            <v>0.05</v>
          </cell>
          <cell r="D82">
            <v>0.15</v>
          </cell>
          <cell r="E82">
            <v>0.35</v>
          </cell>
          <cell r="F82">
            <v>0.55000000000000004</v>
          </cell>
          <cell r="G82">
            <v>0.65</v>
          </cell>
          <cell r="H82">
            <v>0.42</v>
          </cell>
        </row>
        <row r="84">
          <cell r="B84" t="str">
            <v>Resonador</v>
          </cell>
          <cell r="C84">
            <v>0.59</v>
          </cell>
          <cell r="D84">
            <v>0.23</v>
          </cell>
          <cell r="E84">
            <v>0.06</v>
          </cell>
          <cell r="F84">
            <v>0.01</v>
          </cell>
          <cell r="G84">
            <v>0</v>
          </cell>
          <cell r="H84">
            <v>0</v>
          </cell>
        </row>
        <row r="86">
          <cell r="B86" t="str">
            <v xml:space="preserve">QRD 2' x 2' </v>
          </cell>
          <cell r="C86">
            <v>0.23</v>
          </cell>
          <cell r="D86">
            <v>0.24</v>
          </cell>
          <cell r="E86">
            <v>0.35</v>
          </cell>
          <cell r="F86">
            <v>0.23</v>
          </cell>
          <cell r="G86">
            <v>0.2</v>
          </cell>
          <cell r="H86">
            <v>0.2</v>
          </cell>
        </row>
        <row r="88">
          <cell r="B88" t="str">
            <v>Cielo ranurado área libre 16%</v>
          </cell>
          <cell r="C88">
            <v>0.63</v>
          </cell>
          <cell r="D88">
            <v>0.62</v>
          </cell>
          <cell r="E88">
            <v>0.56999999999999995</v>
          </cell>
          <cell r="F88">
            <v>0.48</v>
          </cell>
          <cell r="G88">
            <v>0.32</v>
          </cell>
          <cell r="H88">
            <v>0.26</v>
          </cell>
        </row>
        <row r="89">
          <cell r="B89" t="str">
            <v>Cielo ranurado área libre 29%</v>
          </cell>
          <cell r="C89">
            <v>0.76</v>
          </cell>
          <cell r="D89">
            <v>0.75</v>
          </cell>
          <cell r="E89">
            <v>0.7</v>
          </cell>
          <cell r="F89">
            <v>0.61</v>
          </cell>
          <cell r="G89">
            <v>0.45</v>
          </cell>
          <cell r="H89">
            <v>0.3</v>
          </cell>
        </row>
        <row r="90">
          <cell r="B90" t="str">
            <v>Ranurado tabiquería 16% libre</v>
          </cell>
          <cell r="C90">
            <v>0.57999999999999996</v>
          </cell>
          <cell r="D90">
            <v>0.69</v>
          </cell>
          <cell r="E90">
            <v>0.64</v>
          </cell>
          <cell r="F90">
            <v>0.49</v>
          </cell>
          <cell r="G90">
            <v>0.32</v>
          </cell>
          <cell r="H90">
            <v>0.27</v>
          </cell>
        </row>
        <row r="91">
          <cell r="B91" t="str">
            <v>Ranurado ciego 16% libre</v>
          </cell>
          <cell r="C91">
            <v>0.66</v>
          </cell>
          <cell r="D91">
            <v>7.0000000000000007E-2</v>
          </cell>
          <cell r="E91">
            <v>0.01</v>
          </cell>
          <cell r="F91">
            <v>0</v>
          </cell>
          <cell r="G91">
            <v>0</v>
          </cell>
          <cell r="H91">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7"/>
  <sheetViews>
    <sheetView zoomScale="80" zoomScaleNormal="80" workbookViewId="0">
      <selection activeCell="J13" sqref="J13:J14"/>
    </sheetView>
  </sheetViews>
  <sheetFormatPr defaultColWidth="11.42578125" defaultRowHeight="15" x14ac:dyDescent="0.25"/>
  <cols>
    <col min="1" max="1" width="2.85546875" style="27" customWidth="1"/>
    <col min="2" max="2" width="3.42578125" style="29" customWidth="1"/>
    <col min="3" max="3" width="21.5703125" style="27" customWidth="1"/>
    <col min="4" max="4" width="20.140625" style="27" customWidth="1"/>
    <col min="5" max="5" width="26.42578125" style="27" customWidth="1"/>
    <col min="6" max="6" width="15" style="28" hidden="1" customWidth="1"/>
    <col min="7" max="7" width="4.5703125" style="27" customWidth="1"/>
    <col min="8" max="8" width="11.42578125" style="27"/>
    <col min="9" max="11" width="10.7109375" style="27" customWidth="1"/>
    <col min="12" max="12" width="2.5703125" style="27" customWidth="1"/>
    <col min="13" max="13" width="11.42578125" style="27"/>
    <col min="14" max="14" width="25.85546875" style="27" bestFit="1" customWidth="1"/>
    <col min="15" max="15" width="12.5703125" style="27" customWidth="1"/>
    <col min="16" max="16384" width="11.42578125" style="27"/>
  </cols>
  <sheetData>
    <row r="2" spans="2:16" ht="21" x14ac:dyDescent="0.25">
      <c r="B2" s="153" t="s">
        <v>97</v>
      </c>
      <c r="C2" s="154"/>
      <c r="D2" s="154"/>
      <c r="E2" s="154"/>
      <c r="F2" s="154"/>
      <c r="G2" s="154"/>
      <c r="H2" s="154"/>
      <c r="I2" s="154"/>
      <c r="J2" s="154"/>
      <c r="K2" s="154"/>
      <c r="L2" s="155"/>
    </row>
    <row r="3" spans="2:16" x14ac:dyDescent="0.25">
      <c r="B3" s="128"/>
      <c r="D3" s="118"/>
      <c r="E3" s="129" t="s">
        <v>215</v>
      </c>
      <c r="F3" s="119"/>
      <c r="H3" s="118"/>
      <c r="I3" s="118"/>
      <c r="J3" s="118"/>
      <c r="K3" s="118"/>
      <c r="L3" s="121"/>
    </row>
    <row r="4" spans="2:16" x14ac:dyDescent="0.25">
      <c r="B4" s="128"/>
      <c r="C4" s="118"/>
      <c r="D4" s="118"/>
      <c r="E4" s="118"/>
      <c r="F4" s="119"/>
      <c r="G4" s="118"/>
      <c r="H4" s="118"/>
      <c r="I4" s="118"/>
      <c r="J4" s="118"/>
      <c r="K4" s="118"/>
      <c r="L4" s="121"/>
    </row>
    <row r="5" spans="2:16" x14ac:dyDescent="0.25">
      <c r="B5" s="120" t="s">
        <v>110</v>
      </c>
      <c r="C5" s="118" t="s">
        <v>102</v>
      </c>
      <c r="D5" s="118"/>
      <c r="E5" s="118"/>
      <c r="F5" s="119"/>
      <c r="G5" s="118"/>
      <c r="H5" s="118"/>
      <c r="I5" s="118"/>
      <c r="J5" s="118"/>
      <c r="K5" s="118"/>
      <c r="L5" s="121"/>
    </row>
    <row r="6" spans="2:16" ht="15" customHeight="1" x14ac:dyDescent="0.25">
      <c r="B6" s="120"/>
      <c r="C6" s="84">
        <v>320</v>
      </c>
      <c r="D6" s="118"/>
      <c r="E6" s="118"/>
      <c r="F6" s="119"/>
      <c r="G6" s="118"/>
      <c r="H6" s="118"/>
      <c r="I6" s="118"/>
      <c r="J6" s="118"/>
      <c r="K6" s="118"/>
      <c r="L6" s="121"/>
    </row>
    <row r="7" spans="2:16" ht="15" customHeight="1" x14ac:dyDescent="0.25">
      <c r="B7" s="120"/>
      <c r="C7" s="118"/>
      <c r="D7" s="118"/>
      <c r="E7" s="118"/>
      <c r="F7" s="119"/>
      <c r="G7" s="118"/>
      <c r="H7" s="118"/>
      <c r="I7" s="118"/>
      <c r="J7" s="118"/>
      <c r="K7" s="118"/>
      <c r="L7" s="121"/>
    </row>
    <row r="8" spans="2:16" ht="15" customHeight="1" thickBot="1" x14ac:dyDescent="0.3">
      <c r="B8" s="120" t="s">
        <v>111</v>
      </c>
      <c r="C8" s="118" t="s">
        <v>209</v>
      </c>
      <c r="D8" s="118"/>
      <c r="E8" s="118"/>
      <c r="F8" s="119"/>
      <c r="G8" s="118"/>
      <c r="H8" s="118"/>
      <c r="I8" s="118"/>
      <c r="J8" s="118"/>
      <c r="K8" s="118"/>
      <c r="L8" s="121"/>
    </row>
    <row r="9" spans="2:16" ht="15" customHeight="1" x14ac:dyDescent="0.25">
      <c r="B9" s="120"/>
      <c r="C9" s="85">
        <v>700</v>
      </c>
      <c r="D9" s="118"/>
      <c r="E9" s="118"/>
      <c r="F9" s="119"/>
      <c r="G9" s="118"/>
      <c r="H9" s="156" t="s">
        <v>99</v>
      </c>
      <c r="I9" s="157"/>
      <c r="J9" s="157"/>
      <c r="K9" s="158"/>
      <c r="L9" s="121"/>
    </row>
    <row r="10" spans="2:16" ht="15" customHeight="1" x14ac:dyDescent="0.25">
      <c r="B10" s="120"/>
      <c r="C10" s="118"/>
      <c r="D10" s="118" t="s">
        <v>237</v>
      </c>
      <c r="E10" s="118"/>
      <c r="F10" s="119"/>
      <c r="G10" s="118"/>
      <c r="H10" s="159"/>
      <c r="I10" s="160"/>
      <c r="J10" s="160"/>
      <c r="K10" s="161"/>
      <c r="L10" s="121"/>
    </row>
    <row r="11" spans="2:16" ht="15" customHeight="1" thickBot="1" x14ac:dyDescent="0.3">
      <c r="B11" s="120" t="s">
        <v>112</v>
      </c>
      <c r="C11" s="118" t="s">
        <v>210</v>
      </c>
      <c r="D11" s="118"/>
      <c r="E11" s="118"/>
      <c r="F11" s="119"/>
      <c r="G11" s="118"/>
      <c r="H11" s="162"/>
      <c r="I11" s="163"/>
      <c r="J11" s="163"/>
      <c r="K11" s="164"/>
      <c r="L11" s="121"/>
    </row>
    <row r="12" spans="2:16" ht="15" customHeight="1" x14ac:dyDescent="0.25">
      <c r="B12" s="120"/>
      <c r="C12" s="85">
        <v>500</v>
      </c>
      <c r="D12" s="118"/>
      <c r="E12" s="118"/>
      <c r="F12" s="119"/>
      <c r="G12" s="118"/>
      <c r="H12" s="130" t="s">
        <v>100</v>
      </c>
      <c r="I12" s="131" t="s">
        <v>89</v>
      </c>
      <c r="J12" s="131" t="s">
        <v>87</v>
      </c>
      <c r="K12" s="132" t="s">
        <v>88</v>
      </c>
      <c r="L12" s="121"/>
    </row>
    <row r="13" spans="2:16" ht="15" customHeight="1" x14ac:dyDescent="0.25">
      <c r="B13" s="120"/>
      <c r="C13" s="118"/>
      <c r="D13" s="118"/>
      <c r="E13" s="119"/>
      <c r="F13" s="119"/>
      <c r="G13" s="118"/>
      <c r="H13" s="151" t="s">
        <v>101</v>
      </c>
      <c r="I13" s="167">
        <f>'Calculation Tool'!H67</f>
        <v>400</v>
      </c>
      <c r="J13" s="167">
        <f>'Calculation Tool'!H68</f>
        <v>700</v>
      </c>
      <c r="K13" s="165">
        <f>'Calculation Tool'!H69</f>
        <v>1100</v>
      </c>
      <c r="L13" s="121"/>
    </row>
    <row r="14" spans="2:16" ht="15" customHeight="1" thickBot="1" x14ac:dyDescent="0.3">
      <c r="B14" s="120" t="s">
        <v>113</v>
      </c>
      <c r="C14" s="118" t="s">
        <v>103</v>
      </c>
      <c r="D14" s="118"/>
      <c r="E14" s="118"/>
      <c r="F14" s="119"/>
      <c r="G14" s="118"/>
      <c r="H14" s="152"/>
      <c r="I14" s="168"/>
      <c r="J14" s="168"/>
      <c r="K14" s="166"/>
      <c r="L14" s="121"/>
    </row>
    <row r="15" spans="2:16" ht="15" customHeight="1" thickBot="1" x14ac:dyDescent="0.3">
      <c r="B15" s="120"/>
      <c r="C15" s="86" t="s">
        <v>93</v>
      </c>
      <c r="D15" s="118"/>
      <c r="E15" s="119"/>
      <c r="F15" s="119">
        <f>VLOOKUP($C15,'Calculation Tool'!C32:H33,6,FALSE)</f>
        <v>0</v>
      </c>
      <c r="G15" s="118"/>
      <c r="H15" s="118"/>
      <c r="I15" s="118"/>
      <c r="J15" s="118"/>
      <c r="K15" s="118"/>
      <c r="L15" s="121"/>
      <c r="P15" s="30"/>
    </row>
    <row r="16" spans="2:16" ht="15" customHeight="1" x14ac:dyDescent="0.25">
      <c r="B16" s="120"/>
      <c r="C16" s="118"/>
      <c r="D16" s="118"/>
      <c r="E16" s="118"/>
      <c r="F16" s="119"/>
      <c r="G16" s="118"/>
      <c r="H16" s="118"/>
      <c r="I16" s="143" t="s">
        <v>3</v>
      </c>
      <c r="J16" s="144"/>
      <c r="K16" s="147" t="s">
        <v>225</v>
      </c>
      <c r="L16" s="121"/>
    </row>
    <row r="17" spans="2:12" ht="15" customHeight="1" thickBot="1" x14ac:dyDescent="0.3">
      <c r="B17" s="120" t="s">
        <v>114</v>
      </c>
      <c r="C17" s="118" t="s">
        <v>104</v>
      </c>
      <c r="D17" s="118"/>
      <c r="E17" s="118"/>
      <c r="F17" s="119"/>
      <c r="G17" s="118"/>
      <c r="H17" s="118"/>
      <c r="I17" s="145"/>
      <c r="J17" s="146"/>
      <c r="K17" s="148"/>
      <c r="L17" s="121"/>
    </row>
    <row r="18" spans="2:12" ht="15" customHeight="1" x14ac:dyDescent="0.25">
      <c r="B18" s="120"/>
      <c r="C18" s="86" t="s">
        <v>94</v>
      </c>
      <c r="D18" s="118"/>
      <c r="E18" s="118"/>
      <c r="F18" s="119">
        <f>VLOOKUP($C18,'Calculation Tool'!C35:H36,6,FALSE)</f>
        <v>25600</v>
      </c>
      <c r="G18" s="118"/>
      <c r="H18" s="118"/>
      <c r="I18" s="149" t="s">
        <v>219</v>
      </c>
      <c r="J18" s="150"/>
      <c r="K18" s="133">
        <f>'Calculation Tool'!H13</f>
        <v>406500</v>
      </c>
      <c r="L18" s="121"/>
    </row>
    <row r="19" spans="2:12" ht="15" customHeight="1" x14ac:dyDescent="0.25">
      <c r="B19" s="120"/>
      <c r="C19" s="134" t="s">
        <v>234</v>
      </c>
      <c r="E19" s="118"/>
      <c r="F19" s="119"/>
      <c r="G19" s="118"/>
      <c r="H19" s="135"/>
      <c r="I19" s="139" t="s">
        <v>216</v>
      </c>
      <c r="J19" s="140"/>
      <c r="K19" s="136">
        <f>'Calculation Tool'!H21</f>
        <v>75113.850000000006</v>
      </c>
      <c r="L19" s="121"/>
    </row>
    <row r="20" spans="2:12" ht="15" customHeight="1" x14ac:dyDescent="0.25">
      <c r="B20" s="120"/>
      <c r="C20" s="87">
        <v>1000</v>
      </c>
      <c r="D20" s="117"/>
      <c r="E20" s="118"/>
      <c r="F20" s="119"/>
      <c r="G20" s="118"/>
      <c r="H20" s="118"/>
      <c r="I20" s="139" t="s">
        <v>217</v>
      </c>
      <c r="J20" s="140"/>
      <c r="K20" s="136">
        <f>'Calculation Tool'!H29</f>
        <v>31779.999999999996</v>
      </c>
      <c r="L20" s="121"/>
    </row>
    <row r="21" spans="2:12" ht="15" customHeight="1" x14ac:dyDescent="0.25">
      <c r="B21" s="120"/>
      <c r="C21" s="119"/>
      <c r="D21" s="118"/>
      <c r="E21" s="118"/>
      <c r="F21" s="119"/>
      <c r="G21" s="118"/>
      <c r="H21" s="118"/>
      <c r="I21" s="139" t="s">
        <v>218</v>
      </c>
      <c r="J21" s="140"/>
      <c r="K21" s="136">
        <f>'Calculation Tool'!H37</f>
        <v>25600</v>
      </c>
      <c r="L21" s="121"/>
    </row>
    <row r="22" spans="2:12" ht="15" customHeight="1" x14ac:dyDescent="0.25">
      <c r="B22" s="120" t="s">
        <v>115</v>
      </c>
      <c r="C22" s="118" t="s">
        <v>229</v>
      </c>
      <c r="D22" s="118"/>
      <c r="E22" s="118"/>
      <c r="G22" s="118"/>
      <c r="H22" s="118"/>
      <c r="I22" s="139" t="s">
        <v>80</v>
      </c>
      <c r="J22" s="140"/>
      <c r="K22" s="136">
        <f>'Calculation Tool'!H40</f>
        <v>15382.5</v>
      </c>
      <c r="L22" s="121"/>
    </row>
    <row r="23" spans="2:12" ht="15" customHeight="1" x14ac:dyDescent="0.25">
      <c r="B23" s="120"/>
      <c r="C23" s="85">
        <v>4000</v>
      </c>
      <c r="D23" s="118"/>
      <c r="E23" s="118"/>
      <c r="F23" s="119"/>
      <c r="G23" s="118"/>
      <c r="H23" s="118"/>
      <c r="I23" s="139" t="s">
        <v>226</v>
      </c>
      <c r="J23" s="140"/>
      <c r="K23" s="136">
        <f>'Calculation Tool'!H46</f>
        <v>16000</v>
      </c>
      <c r="L23" s="121"/>
    </row>
    <row r="24" spans="2:12" ht="15" customHeight="1" x14ac:dyDescent="0.25">
      <c r="B24" s="120"/>
      <c r="C24" s="118"/>
      <c r="D24" s="118"/>
      <c r="E24" s="118"/>
      <c r="F24" s="119"/>
      <c r="G24" s="118"/>
      <c r="H24" s="118"/>
      <c r="I24" s="139" t="s">
        <v>6</v>
      </c>
      <c r="J24" s="140"/>
      <c r="K24" s="136">
        <f>'Calculation Tool'!H49</f>
        <v>100000</v>
      </c>
      <c r="L24" s="121"/>
    </row>
    <row r="25" spans="2:12" ht="15" customHeight="1" thickBot="1" x14ac:dyDescent="0.3">
      <c r="B25" s="120" t="s">
        <v>116</v>
      </c>
      <c r="C25" s="118" t="s">
        <v>105</v>
      </c>
      <c r="D25" s="118"/>
      <c r="E25" s="118"/>
      <c r="F25" s="119"/>
      <c r="G25" s="118"/>
      <c r="H25" s="118"/>
      <c r="I25" s="141" t="s">
        <v>224</v>
      </c>
      <c r="J25" s="142"/>
      <c r="K25" s="137">
        <f>'Calculation Tool'!H56</f>
        <v>276666.66666666669</v>
      </c>
      <c r="L25" s="121"/>
    </row>
    <row r="26" spans="2:12" ht="15" customHeight="1" x14ac:dyDescent="0.25">
      <c r="B26" s="120"/>
      <c r="C26" s="86" t="s">
        <v>95</v>
      </c>
      <c r="D26" s="118"/>
      <c r="E26" s="119"/>
      <c r="F26" s="119">
        <f>VLOOKUP($C26,'Calculation Tool'!C44:H45,6,FALSE)+'Calculation Tool'!H42</f>
        <v>16000</v>
      </c>
      <c r="G26" s="118"/>
      <c r="H26" s="118"/>
      <c r="I26" s="118"/>
      <c r="L26" s="121"/>
    </row>
    <row r="27" spans="2:12" ht="15" customHeight="1" x14ac:dyDescent="0.25">
      <c r="B27" s="120"/>
      <c r="C27" s="134" t="s">
        <v>107</v>
      </c>
      <c r="D27" s="117"/>
      <c r="E27" s="118"/>
      <c r="G27" s="118"/>
      <c r="H27" s="118"/>
      <c r="I27" s="135"/>
      <c r="J27" s="118"/>
      <c r="K27" s="118"/>
      <c r="L27" s="121"/>
    </row>
    <row r="28" spans="2:12" ht="15" customHeight="1" x14ac:dyDescent="0.25">
      <c r="B28" s="120"/>
      <c r="C28" s="87">
        <v>15000</v>
      </c>
      <c r="D28" s="117"/>
      <c r="E28" s="118"/>
      <c r="F28" s="119">
        <f>'Calculation Tool'!H44</f>
        <v>60000</v>
      </c>
      <c r="G28" s="118"/>
      <c r="H28" s="118"/>
      <c r="I28" s="118"/>
      <c r="J28" s="118"/>
      <c r="K28" s="118"/>
      <c r="L28" s="121"/>
    </row>
    <row r="29" spans="2:12" ht="15" customHeight="1" x14ac:dyDescent="0.25">
      <c r="B29" s="120"/>
      <c r="C29" s="134" t="s">
        <v>109</v>
      </c>
      <c r="D29" s="117"/>
      <c r="E29" s="119"/>
      <c r="F29" s="119"/>
      <c r="G29" s="118"/>
      <c r="H29" s="118"/>
      <c r="I29" s="135"/>
      <c r="J29" s="118"/>
      <c r="K29" s="118"/>
      <c r="L29" s="121"/>
    </row>
    <row r="30" spans="2:12" ht="15" customHeight="1" x14ac:dyDescent="0.25">
      <c r="B30" s="120"/>
      <c r="C30" s="87">
        <v>2000</v>
      </c>
      <c r="D30" s="117"/>
      <c r="E30" s="118"/>
      <c r="F30" s="119">
        <f>'Calculation Tool'!H45</f>
        <v>8000</v>
      </c>
      <c r="G30" s="118"/>
      <c r="H30" s="118"/>
      <c r="I30" s="118"/>
      <c r="J30" s="118"/>
      <c r="K30" s="118"/>
      <c r="L30" s="121"/>
    </row>
    <row r="31" spans="2:12" ht="15" customHeight="1" x14ac:dyDescent="0.25">
      <c r="B31" s="120"/>
      <c r="C31" s="118"/>
      <c r="D31" s="118"/>
      <c r="E31" s="118"/>
      <c r="F31" s="119"/>
      <c r="G31" s="118"/>
      <c r="H31" s="118"/>
      <c r="I31" s="118"/>
      <c r="J31" s="118"/>
      <c r="K31" s="118"/>
      <c r="L31" s="121"/>
    </row>
    <row r="32" spans="2:12" ht="15" customHeight="1" x14ac:dyDescent="0.25">
      <c r="B32" s="120" t="s">
        <v>117</v>
      </c>
      <c r="C32" s="118" t="s">
        <v>106</v>
      </c>
      <c r="D32" s="138"/>
      <c r="E32" s="138"/>
      <c r="G32" s="118"/>
      <c r="H32" s="118"/>
      <c r="I32" s="118"/>
      <c r="J32" s="118"/>
      <c r="K32" s="118"/>
      <c r="L32" s="121"/>
    </row>
    <row r="33" spans="2:12" ht="15" customHeight="1" x14ac:dyDescent="0.25">
      <c r="B33" s="120"/>
      <c r="C33" s="85">
        <v>100000</v>
      </c>
      <c r="D33" s="118"/>
      <c r="E33" s="119"/>
      <c r="F33" s="119"/>
      <c r="G33" s="118"/>
      <c r="H33" s="118"/>
      <c r="I33" s="118"/>
      <c r="J33" s="118"/>
      <c r="K33" s="118"/>
      <c r="L33" s="121"/>
    </row>
    <row r="34" spans="2:12" ht="15" customHeight="1" x14ac:dyDescent="0.25">
      <c r="B34" s="120"/>
      <c r="C34" s="118"/>
      <c r="D34" s="138"/>
      <c r="E34" s="138"/>
      <c r="G34" s="118"/>
      <c r="H34" s="118"/>
      <c r="I34" s="118"/>
      <c r="J34" s="118"/>
      <c r="K34" s="118"/>
      <c r="L34" s="121"/>
    </row>
    <row r="35" spans="2:12" ht="15" customHeight="1" x14ac:dyDescent="0.25">
      <c r="B35" s="120" t="s">
        <v>118</v>
      </c>
      <c r="C35" s="118" t="s">
        <v>108</v>
      </c>
      <c r="D35" s="118"/>
      <c r="E35" s="119"/>
      <c r="F35" s="119"/>
      <c r="G35" s="118"/>
      <c r="H35" s="118"/>
      <c r="I35" s="118"/>
      <c r="J35" s="118"/>
      <c r="K35" s="118"/>
      <c r="L35" s="121"/>
    </row>
    <row r="36" spans="2:12" ht="15" customHeight="1" x14ac:dyDescent="0.25">
      <c r="B36" s="120"/>
      <c r="C36" s="85">
        <v>8300000</v>
      </c>
      <c r="D36" s="118"/>
      <c r="E36" s="118"/>
      <c r="F36" s="119"/>
      <c r="G36" s="118"/>
      <c r="H36" s="118"/>
      <c r="I36" s="118"/>
      <c r="J36" s="118"/>
      <c r="K36" s="118"/>
      <c r="L36" s="121"/>
    </row>
    <row r="37" spans="2:12" ht="15" customHeight="1" x14ac:dyDescent="0.25">
      <c r="B37" s="122"/>
      <c r="C37" s="123"/>
      <c r="D37" s="123"/>
      <c r="E37" s="123"/>
      <c r="F37" s="124"/>
      <c r="G37" s="123"/>
      <c r="H37" s="123"/>
      <c r="I37" s="123"/>
      <c r="J37" s="123"/>
      <c r="K37" s="123"/>
      <c r="L37" s="125"/>
    </row>
  </sheetData>
  <sheetProtection algorithmName="SHA-512" hashValue="v18ukC16NWepFzz7bz68p6Zji+Coc2u52nrp4foyXhdbnP3TxMqGORoEYzoWYJU3CaHlTmo/1bzZrJxsUHTz9w==" saltValue="Osec+cL4AhgjUSXgl8dGAg==" spinCount="100000" sheet="1" objects="1" scenarios="1"/>
  <mergeCells count="16">
    <mergeCell ref="H13:H14"/>
    <mergeCell ref="B2:L2"/>
    <mergeCell ref="H9:K11"/>
    <mergeCell ref="K13:K14"/>
    <mergeCell ref="J13:J14"/>
    <mergeCell ref="I13:I14"/>
    <mergeCell ref="I20:J20"/>
    <mergeCell ref="I16:J17"/>
    <mergeCell ref="K16:K17"/>
    <mergeCell ref="I18:J18"/>
    <mergeCell ref="I19:J19"/>
    <mergeCell ref="I21:J21"/>
    <mergeCell ref="I22:J22"/>
    <mergeCell ref="I23:J23"/>
    <mergeCell ref="I24:J24"/>
    <mergeCell ref="I25:J25"/>
  </mergeCells>
  <dataValidations count="2">
    <dataValidation type="list" allowBlank="1" showInputMessage="1" showErrorMessage="1" sqref="E19">
      <formula1>$B$34:$B$35</formula1>
    </dataValidation>
    <dataValidation type="list" allowBlank="1" showInputMessage="1" showErrorMessage="1" sqref="E23">
      <formula1>$B$36:$B$37</formula1>
    </dataValidation>
  </dataValidations>
  <pageMargins left="0.7" right="0.7" top="0.78740157499999996" bottom="0.78740157499999996" header="0.3" footer="0.3"/>
  <pageSetup paperSize="9" orientation="portrait" horizontalDpi="1200" verticalDpi="1200" r:id="rId1"/>
  <ignoredErrors>
    <ignoredError sqref="B5 B35 B32 B25 B22 B17 B14 B11 B8"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'Calculation Tool'!$C$44:$C$45</xm:f>
          </x14:formula1>
          <xm:sqref>C26 E31</xm:sqref>
        </x14:dataValidation>
        <x14:dataValidation type="list" allowBlank="1" showInputMessage="1" showErrorMessage="1">
          <x14:formula1>
            <xm:f>'Calculation Tool'!$C$32:$C$33</xm:f>
          </x14:formula1>
          <xm:sqref>C15</xm:sqref>
        </x14:dataValidation>
        <x14:dataValidation type="list" allowBlank="1" showInputMessage="1" showErrorMessage="1">
          <x14:formula1>
            <xm:f>'Calculation Tool'!$C$35:$C$36</xm:f>
          </x14:formula1>
          <xm:sqref>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71"/>
  <sheetViews>
    <sheetView tabSelected="1" zoomScaleNormal="100" zoomScalePageLayoutView="50" workbookViewId="0">
      <selection activeCell="I6" sqref="I6"/>
    </sheetView>
  </sheetViews>
  <sheetFormatPr defaultColWidth="9.140625" defaultRowHeight="15" x14ac:dyDescent="0.25"/>
  <cols>
    <col min="1" max="1" width="4.28515625" style="32" customWidth="1"/>
    <col min="2" max="2" width="6.5703125" style="32" customWidth="1"/>
    <col min="3" max="3" width="59.42578125" style="32" customWidth="1"/>
    <col min="4" max="4" width="9.140625" style="32" customWidth="1"/>
    <col min="5" max="5" width="8.5703125" style="32" bestFit="1" customWidth="1"/>
    <col min="6" max="6" width="17.42578125" style="32" customWidth="1"/>
    <col min="7" max="7" width="15.140625" style="32" customWidth="1"/>
    <col min="8" max="8" width="20" style="32" customWidth="1"/>
    <col min="9" max="11" width="9.140625" style="32"/>
    <col min="12" max="12" width="16.85546875" style="32" customWidth="1"/>
    <col min="13" max="13" width="15.28515625" style="32" bestFit="1" customWidth="1"/>
    <col min="14" max="14" width="15.7109375" style="32" customWidth="1"/>
    <col min="15" max="15" width="19" style="32" customWidth="1"/>
    <col min="16" max="16" width="21.42578125" style="32" bestFit="1" customWidth="1"/>
    <col min="17" max="17" width="19.5703125" style="32" customWidth="1"/>
    <col min="18" max="16384" width="9.140625" style="32"/>
  </cols>
  <sheetData>
    <row r="1" spans="2:8" ht="21" x14ac:dyDescent="0.35">
      <c r="B1" s="31" t="s">
        <v>214</v>
      </c>
    </row>
    <row r="2" spans="2:8" ht="45" customHeight="1" x14ac:dyDescent="0.25">
      <c r="B2" s="205" t="s">
        <v>227</v>
      </c>
      <c r="C2" s="206"/>
      <c r="D2" s="206"/>
      <c r="E2" s="206"/>
      <c r="F2" s="206"/>
      <c r="G2" s="206"/>
      <c r="H2" s="206"/>
    </row>
    <row r="3" spans="2:8" x14ac:dyDescent="0.25">
      <c r="G3" s="33"/>
      <c r="H3" s="33"/>
    </row>
    <row r="4" spans="2:8" ht="15.75" x14ac:dyDescent="0.25">
      <c r="B4" s="182" t="s">
        <v>164</v>
      </c>
      <c r="C4" s="182"/>
      <c r="D4" s="182"/>
      <c r="E4" s="182"/>
      <c r="F4" s="182"/>
      <c r="G4" s="182"/>
      <c r="H4" s="182"/>
    </row>
    <row r="5" spans="2:8" ht="28.9" customHeight="1" x14ac:dyDescent="0.25">
      <c r="B5" s="34" t="s">
        <v>4</v>
      </c>
      <c r="C5" s="177" t="s">
        <v>3</v>
      </c>
      <c r="D5" s="178"/>
      <c r="E5" s="179"/>
      <c r="F5" s="35" t="s">
        <v>169</v>
      </c>
      <c r="G5" s="35" t="s">
        <v>192</v>
      </c>
      <c r="H5" s="36" t="s">
        <v>193</v>
      </c>
    </row>
    <row r="6" spans="2:8" ht="23.25" customHeight="1" x14ac:dyDescent="0.25">
      <c r="B6" s="37" t="s">
        <v>1</v>
      </c>
      <c r="C6" s="214" t="s">
        <v>119</v>
      </c>
      <c r="D6" s="215"/>
      <c r="E6" s="216"/>
      <c r="F6" s="38">
        <f>'Simplified calculation tool'!C6</f>
        <v>320</v>
      </c>
      <c r="G6" s="39">
        <v>50</v>
      </c>
      <c r="H6" s="95">
        <f>F6*G6</f>
        <v>16000</v>
      </c>
    </row>
    <row r="7" spans="2:8" x14ac:dyDescent="0.25">
      <c r="B7" s="40"/>
      <c r="C7" s="41"/>
      <c r="D7" s="41"/>
      <c r="E7" s="41"/>
      <c r="F7" s="41"/>
      <c r="G7" s="41"/>
      <c r="H7" s="41"/>
    </row>
    <row r="8" spans="2:8" ht="15.75" x14ac:dyDescent="0.25">
      <c r="B8" s="182" t="s">
        <v>163</v>
      </c>
      <c r="C8" s="182"/>
      <c r="D8" s="182"/>
      <c r="E8" s="182"/>
      <c r="F8" s="182"/>
      <c r="G8" s="182"/>
      <c r="H8" s="182"/>
    </row>
    <row r="9" spans="2:8" ht="30" x14ac:dyDescent="0.25">
      <c r="B9" s="34" t="s">
        <v>4</v>
      </c>
      <c r="C9" s="35" t="s">
        <v>3</v>
      </c>
      <c r="D9" s="35" t="s">
        <v>176</v>
      </c>
      <c r="E9" s="35" t="s">
        <v>9</v>
      </c>
      <c r="F9" s="35" t="s">
        <v>10</v>
      </c>
      <c r="G9" s="35" t="s">
        <v>84</v>
      </c>
      <c r="H9" s="36" t="s">
        <v>168</v>
      </c>
    </row>
    <row r="10" spans="2:8" x14ac:dyDescent="0.25">
      <c r="B10" s="42" t="s">
        <v>120</v>
      </c>
      <c r="C10" s="210" t="s">
        <v>219</v>
      </c>
      <c r="D10" s="210"/>
      <c r="E10" s="210"/>
      <c r="F10" s="210"/>
      <c r="G10" s="210"/>
      <c r="H10" s="211"/>
    </row>
    <row r="11" spans="2:8" x14ac:dyDescent="0.25">
      <c r="B11" s="43" t="s">
        <v>121</v>
      </c>
      <c r="C11" s="44" t="s">
        <v>5</v>
      </c>
      <c r="D11" s="44" t="s">
        <v>159</v>
      </c>
      <c r="E11" s="45" t="s">
        <v>231</v>
      </c>
      <c r="F11" s="46">
        <f>F6</f>
        <v>320</v>
      </c>
      <c r="G11" s="47">
        <f>'Simplified calculation tool'!C9</f>
        <v>700</v>
      </c>
      <c r="H11" s="96">
        <f>PRODUCT(E11,F11,G11)</f>
        <v>224000</v>
      </c>
    </row>
    <row r="12" spans="2:8" x14ac:dyDescent="0.25">
      <c r="B12" s="43" t="s">
        <v>122</v>
      </c>
      <c r="C12" s="44" t="s">
        <v>8</v>
      </c>
      <c r="D12" s="44" t="s">
        <v>159</v>
      </c>
      <c r="E12" s="45" t="s">
        <v>155</v>
      </c>
      <c r="F12" s="46">
        <v>365</v>
      </c>
      <c r="G12" s="47">
        <f>'Simplified calculation tool'!C12</f>
        <v>500</v>
      </c>
      <c r="H12" s="96">
        <f>PRODUCT(E12,F12,G12)</f>
        <v>182500</v>
      </c>
    </row>
    <row r="13" spans="2:8" x14ac:dyDescent="0.25">
      <c r="B13" s="207" t="s">
        <v>220</v>
      </c>
      <c r="C13" s="208"/>
      <c r="D13" s="208"/>
      <c r="E13" s="208"/>
      <c r="F13" s="208"/>
      <c r="G13" s="208"/>
      <c r="H13" s="97">
        <f>'Detailed O&amp;M costs'!I13</f>
        <v>406500</v>
      </c>
    </row>
    <row r="14" spans="2:8" x14ac:dyDescent="0.25">
      <c r="B14" s="48" t="s">
        <v>123</v>
      </c>
      <c r="C14" s="212" t="s">
        <v>216</v>
      </c>
      <c r="D14" s="212"/>
      <c r="E14" s="212"/>
      <c r="F14" s="212"/>
      <c r="G14" s="212"/>
      <c r="H14" s="213"/>
    </row>
    <row r="15" spans="2:8" x14ac:dyDescent="0.25">
      <c r="B15" s="43" t="s">
        <v>124</v>
      </c>
      <c r="C15" s="44" t="s">
        <v>232</v>
      </c>
      <c r="D15" s="44" t="s">
        <v>159</v>
      </c>
      <c r="E15" s="45" t="s">
        <v>155</v>
      </c>
      <c r="F15" s="46">
        <v>1</v>
      </c>
      <c r="G15" s="49">
        <v>9745</v>
      </c>
      <c r="H15" s="96">
        <f>F15*G15</f>
        <v>9745</v>
      </c>
    </row>
    <row r="16" spans="2:8" x14ac:dyDescent="0.25">
      <c r="B16" s="43" t="s">
        <v>125</v>
      </c>
      <c r="C16" s="50" t="s">
        <v>19</v>
      </c>
      <c r="D16" s="44" t="s">
        <v>159</v>
      </c>
      <c r="E16" s="45" t="s">
        <v>155</v>
      </c>
      <c r="F16" s="46">
        <v>1</v>
      </c>
      <c r="G16" s="49">
        <v>2550</v>
      </c>
      <c r="H16" s="96">
        <f t="shared" ref="H16:H20" si="0">F16*G16</f>
        <v>2550</v>
      </c>
    </row>
    <row r="17" spans="2:8" x14ac:dyDescent="0.25">
      <c r="B17" s="43" t="s">
        <v>126</v>
      </c>
      <c r="C17" s="50" t="s">
        <v>23</v>
      </c>
      <c r="D17" s="44" t="s">
        <v>159</v>
      </c>
      <c r="E17" s="45" t="s">
        <v>155</v>
      </c>
      <c r="F17" s="46">
        <v>1</v>
      </c>
      <c r="G17" s="49">
        <v>4833.3333333333339</v>
      </c>
      <c r="H17" s="96">
        <f t="shared" si="0"/>
        <v>4833.3333333333339</v>
      </c>
    </row>
    <row r="18" spans="2:8" x14ac:dyDescent="0.25">
      <c r="B18" s="43" t="s">
        <v>127</v>
      </c>
      <c r="C18" s="50" t="s">
        <v>29</v>
      </c>
      <c r="D18" s="44" t="s">
        <v>159</v>
      </c>
      <c r="E18" s="45" t="s">
        <v>155</v>
      </c>
      <c r="F18" s="46">
        <v>1</v>
      </c>
      <c r="G18" s="49">
        <v>2124</v>
      </c>
      <c r="H18" s="96">
        <f t="shared" si="0"/>
        <v>2124</v>
      </c>
    </row>
    <row r="19" spans="2:8" x14ac:dyDescent="0.25">
      <c r="B19" s="43" t="s">
        <v>128</v>
      </c>
      <c r="C19" s="50" t="s">
        <v>213</v>
      </c>
      <c r="D19" s="44" t="s">
        <v>159</v>
      </c>
      <c r="E19" s="45" t="s">
        <v>155</v>
      </c>
      <c r="F19" s="46">
        <v>1</v>
      </c>
      <c r="G19" s="49">
        <v>23978</v>
      </c>
      <c r="H19" s="96">
        <f t="shared" si="0"/>
        <v>23978</v>
      </c>
    </row>
    <row r="20" spans="2:8" x14ac:dyDescent="0.25">
      <c r="B20" s="43" t="s">
        <v>129</v>
      </c>
      <c r="C20" s="50" t="s">
        <v>47</v>
      </c>
      <c r="D20" s="44" t="s">
        <v>159</v>
      </c>
      <c r="E20" s="45" t="s">
        <v>155</v>
      </c>
      <c r="F20" s="46">
        <v>1</v>
      </c>
      <c r="G20" s="49">
        <v>23700</v>
      </c>
      <c r="H20" s="96">
        <f t="shared" si="0"/>
        <v>23700</v>
      </c>
    </row>
    <row r="21" spans="2:8" x14ac:dyDescent="0.25">
      <c r="B21" s="207" t="s">
        <v>248</v>
      </c>
      <c r="C21" s="208"/>
      <c r="D21" s="208"/>
      <c r="E21" s="208"/>
      <c r="F21" s="208"/>
      <c r="G21" s="208"/>
      <c r="H21" s="98">
        <f>'Detailed O&amp;M costs'!I80</f>
        <v>75113.850000000006</v>
      </c>
    </row>
    <row r="22" spans="2:8" x14ac:dyDescent="0.25">
      <c r="B22" s="48" t="s">
        <v>130</v>
      </c>
      <c r="C22" s="212" t="s">
        <v>223</v>
      </c>
      <c r="D22" s="212"/>
      <c r="E22" s="212"/>
      <c r="F22" s="212"/>
      <c r="G22" s="212"/>
      <c r="H22" s="213"/>
    </row>
    <row r="23" spans="2:8" x14ac:dyDescent="0.25">
      <c r="B23" s="43" t="s">
        <v>131</v>
      </c>
      <c r="C23" s="50" t="s">
        <v>52</v>
      </c>
      <c r="D23" s="44" t="s">
        <v>159</v>
      </c>
      <c r="E23" s="45" t="s">
        <v>155</v>
      </c>
      <c r="F23" s="46">
        <v>1</v>
      </c>
      <c r="G23" s="49">
        <f>SUM('Detailed O&amp;M costs'!I82:I83)</f>
        <v>500</v>
      </c>
      <c r="H23" s="99">
        <f>F23*G23</f>
        <v>500</v>
      </c>
    </row>
    <row r="24" spans="2:8" x14ac:dyDescent="0.25">
      <c r="B24" s="43" t="s">
        <v>132</v>
      </c>
      <c r="C24" s="50" t="s">
        <v>55</v>
      </c>
      <c r="D24" s="44" t="s">
        <v>159</v>
      </c>
      <c r="E24" s="45" t="s">
        <v>155</v>
      </c>
      <c r="F24" s="46">
        <v>1</v>
      </c>
      <c r="G24" s="49">
        <f>SUM('Detailed O&amp;M costs'!I88:I90)</f>
        <v>2080</v>
      </c>
      <c r="H24" s="99">
        <f t="shared" ref="H24:H28" si="1">F24*G24</f>
        <v>2080</v>
      </c>
    </row>
    <row r="25" spans="2:8" x14ac:dyDescent="0.25">
      <c r="B25" s="43" t="s">
        <v>133</v>
      </c>
      <c r="C25" s="50" t="s">
        <v>59</v>
      </c>
      <c r="D25" s="44" t="s">
        <v>159</v>
      </c>
      <c r="E25" s="45" t="s">
        <v>155</v>
      </c>
      <c r="F25" s="46">
        <v>1</v>
      </c>
      <c r="G25" s="49">
        <f>SUM('Detailed O&amp;M costs'!I95:I98)</f>
        <v>8800</v>
      </c>
      <c r="H25" s="99">
        <f t="shared" si="1"/>
        <v>8800</v>
      </c>
    </row>
    <row r="26" spans="2:8" x14ac:dyDescent="0.25">
      <c r="B26" s="43" t="s">
        <v>134</v>
      </c>
      <c r="C26" s="50" t="s">
        <v>64</v>
      </c>
      <c r="D26" s="44" t="s">
        <v>159</v>
      </c>
      <c r="E26" s="45" t="s">
        <v>155</v>
      </c>
      <c r="F26" s="46">
        <v>1</v>
      </c>
      <c r="G26" s="49">
        <f>SUM('Detailed O&amp;M costs'!I103)</f>
        <v>1920</v>
      </c>
      <c r="H26" s="99">
        <f t="shared" si="1"/>
        <v>1920</v>
      </c>
    </row>
    <row r="27" spans="2:8" x14ac:dyDescent="0.25">
      <c r="B27" s="43" t="s">
        <v>135</v>
      </c>
      <c r="C27" s="50" t="s">
        <v>66</v>
      </c>
      <c r="D27" s="44" t="s">
        <v>159</v>
      </c>
      <c r="E27" s="45" t="s">
        <v>155</v>
      </c>
      <c r="F27" s="46">
        <v>1</v>
      </c>
      <c r="G27" s="49">
        <f>SUM('Detailed O&amp;M costs'!I108:I109)</f>
        <v>2700</v>
      </c>
      <c r="H27" s="99">
        <f t="shared" si="1"/>
        <v>2700</v>
      </c>
    </row>
    <row r="28" spans="2:8" x14ac:dyDescent="0.25">
      <c r="B28" s="43" t="s">
        <v>136</v>
      </c>
      <c r="C28" s="50" t="s">
        <v>68</v>
      </c>
      <c r="D28" s="44" t="s">
        <v>159</v>
      </c>
      <c r="E28" s="45" t="s">
        <v>155</v>
      </c>
      <c r="F28" s="46">
        <v>1</v>
      </c>
      <c r="G28" s="49">
        <f>SUM('Detailed O&amp;M costs'!I114:I119)</f>
        <v>14266.666666666666</v>
      </c>
      <c r="H28" s="99">
        <f t="shared" si="1"/>
        <v>14266.666666666666</v>
      </c>
    </row>
    <row r="29" spans="2:8" x14ac:dyDescent="0.25">
      <c r="B29" s="207" t="s">
        <v>249</v>
      </c>
      <c r="C29" s="208"/>
      <c r="D29" s="208"/>
      <c r="E29" s="208"/>
      <c r="F29" s="208"/>
      <c r="G29" s="208"/>
      <c r="H29" s="98">
        <f>'Detailed O&amp;M costs'!I124</f>
        <v>31779.999999999996</v>
      </c>
    </row>
    <row r="30" spans="2:8" x14ac:dyDescent="0.25">
      <c r="B30" s="42" t="s">
        <v>137</v>
      </c>
      <c r="C30" s="175" t="s">
        <v>221</v>
      </c>
      <c r="D30" s="175"/>
      <c r="E30" s="175"/>
      <c r="F30" s="175"/>
      <c r="G30" s="175"/>
      <c r="H30" s="176"/>
    </row>
    <row r="31" spans="2:8" x14ac:dyDescent="0.25">
      <c r="B31" s="51" t="s">
        <v>172</v>
      </c>
      <c r="C31" s="190" t="s">
        <v>174</v>
      </c>
      <c r="D31" s="191"/>
      <c r="E31" s="191"/>
      <c r="F31" s="191"/>
      <c r="G31" s="191"/>
      <c r="H31" s="209"/>
    </row>
    <row r="32" spans="2:8" x14ac:dyDescent="0.25">
      <c r="B32" s="52"/>
      <c r="C32" s="53" t="s">
        <v>92</v>
      </c>
      <c r="D32" s="54" t="s">
        <v>178</v>
      </c>
      <c r="E32" s="79">
        <v>50</v>
      </c>
      <c r="F32" s="80">
        <v>12</v>
      </c>
      <c r="G32" s="55">
        <v>11</v>
      </c>
      <c r="H32" s="100">
        <f>PRODUCT(E32,F32,G32)</f>
        <v>6600</v>
      </c>
    </row>
    <row r="33" spans="2:8" x14ac:dyDescent="0.25">
      <c r="B33" s="52"/>
      <c r="C33" s="88" t="s">
        <v>93</v>
      </c>
      <c r="D33" s="56" t="s">
        <v>178</v>
      </c>
      <c r="E33" s="79">
        <v>50</v>
      </c>
      <c r="F33" s="80">
        <v>12</v>
      </c>
      <c r="G33" s="55">
        <v>0</v>
      </c>
      <c r="H33" s="100">
        <f>PRODUCT(E33,F33,G33)</f>
        <v>0</v>
      </c>
    </row>
    <row r="34" spans="2:8" x14ac:dyDescent="0.25">
      <c r="B34" s="51" t="s">
        <v>173</v>
      </c>
      <c r="C34" s="217" t="s">
        <v>175</v>
      </c>
      <c r="D34" s="218"/>
      <c r="E34" s="218"/>
      <c r="F34" s="218"/>
      <c r="G34" s="218"/>
      <c r="H34" s="219"/>
    </row>
    <row r="35" spans="2:8" x14ac:dyDescent="0.25">
      <c r="B35" s="52"/>
      <c r="C35" s="53" t="s">
        <v>94</v>
      </c>
      <c r="D35" s="54" t="s">
        <v>160</v>
      </c>
      <c r="E35" s="57">
        <v>1</v>
      </c>
      <c r="F35" s="58">
        <f>40*F6/500</f>
        <v>25.6</v>
      </c>
      <c r="G35" s="55">
        <f>'Simplified calculation tool'!C20</f>
        <v>1000</v>
      </c>
      <c r="H35" s="100">
        <f>PRODUCT(E35,F35,G35)</f>
        <v>25600</v>
      </c>
    </row>
    <row r="36" spans="2:8" x14ac:dyDescent="0.25">
      <c r="B36" s="52"/>
      <c r="C36" s="88" t="s">
        <v>184</v>
      </c>
      <c r="D36" s="56" t="s">
        <v>159</v>
      </c>
      <c r="E36" s="57" t="s">
        <v>155</v>
      </c>
      <c r="F36" s="59">
        <v>12</v>
      </c>
      <c r="G36" s="55">
        <v>350</v>
      </c>
      <c r="H36" s="100">
        <f>PRODUCT(E36,F36,G36)</f>
        <v>4200</v>
      </c>
    </row>
    <row r="37" spans="2:8" x14ac:dyDescent="0.25">
      <c r="B37" s="199" t="s">
        <v>222</v>
      </c>
      <c r="C37" s="200"/>
      <c r="D37" s="200"/>
      <c r="E37" s="200"/>
      <c r="F37" s="200"/>
      <c r="G37" s="201"/>
      <c r="H37" s="101">
        <f>'Detailed O&amp;M costs'!I135</f>
        <v>25600</v>
      </c>
    </row>
    <row r="38" spans="2:8" x14ac:dyDescent="0.25">
      <c r="B38" s="48" t="s">
        <v>138</v>
      </c>
      <c r="C38" s="212" t="s">
        <v>80</v>
      </c>
      <c r="D38" s="212"/>
      <c r="E38" s="212"/>
      <c r="F38" s="212"/>
      <c r="G38" s="212"/>
      <c r="H38" s="213"/>
    </row>
    <row r="39" spans="2:8" x14ac:dyDescent="0.25">
      <c r="B39" s="60" t="s">
        <v>139</v>
      </c>
      <c r="C39" s="61" t="s">
        <v>177</v>
      </c>
      <c r="D39" s="61" t="s">
        <v>159</v>
      </c>
      <c r="E39" s="62" t="s">
        <v>155</v>
      </c>
      <c r="F39" s="80">
        <v>1</v>
      </c>
      <c r="G39" s="55">
        <f>'Detailed O&amp;M costs'!I143</f>
        <v>15382.5</v>
      </c>
      <c r="H39" s="102">
        <f>G39</f>
        <v>15382.5</v>
      </c>
    </row>
    <row r="40" spans="2:8" x14ac:dyDescent="0.25">
      <c r="B40" s="199" t="s">
        <v>253</v>
      </c>
      <c r="C40" s="200"/>
      <c r="D40" s="200"/>
      <c r="E40" s="200"/>
      <c r="F40" s="200"/>
      <c r="G40" s="201"/>
      <c r="H40" s="101">
        <f>'Detailed O&amp;M costs'!I143</f>
        <v>15382.5</v>
      </c>
    </row>
    <row r="41" spans="2:8" x14ac:dyDescent="0.25">
      <c r="B41" s="48" t="s">
        <v>140</v>
      </c>
      <c r="C41" s="212" t="s">
        <v>179</v>
      </c>
      <c r="D41" s="212"/>
      <c r="E41" s="212"/>
      <c r="F41" s="212"/>
      <c r="G41" s="212"/>
      <c r="H41" s="213"/>
    </row>
    <row r="42" spans="2:8" x14ac:dyDescent="0.25">
      <c r="B42" s="63" t="s">
        <v>141</v>
      </c>
      <c r="C42" s="64" t="s">
        <v>162</v>
      </c>
      <c r="D42" s="64" t="s">
        <v>160</v>
      </c>
      <c r="E42" s="57">
        <v>1</v>
      </c>
      <c r="F42" s="82">
        <v>2</v>
      </c>
      <c r="G42" s="49">
        <f>'Simplified calculation tool'!C23</f>
        <v>4000</v>
      </c>
      <c r="H42" s="99">
        <f>E42*F42*G42</f>
        <v>8000</v>
      </c>
    </row>
    <row r="43" spans="2:8" x14ac:dyDescent="0.25">
      <c r="B43" s="63" t="s">
        <v>142</v>
      </c>
      <c r="C43" s="187" t="s">
        <v>83</v>
      </c>
      <c r="D43" s="188"/>
      <c r="E43" s="188"/>
      <c r="F43" s="188"/>
      <c r="G43" s="188"/>
      <c r="H43" s="220"/>
    </row>
    <row r="44" spans="2:8" x14ac:dyDescent="0.25">
      <c r="B44" s="65"/>
      <c r="C44" s="50" t="s">
        <v>96</v>
      </c>
      <c r="D44" s="50" t="s">
        <v>159</v>
      </c>
      <c r="E44" s="57" t="s">
        <v>155</v>
      </c>
      <c r="F44" s="80">
        <v>4</v>
      </c>
      <c r="G44" s="49">
        <f>'Simplified calculation tool'!C28</f>
        <v>15000</v>
      </c>
      <c r="H44" s="99">
        <f>F44*G44</f>
        <v>60000</v>
      </c>
    </row>
    <row r="45" spans="2:8" x14ac:dyDescent="0.25">
      <c r="B45" s="65"/>
      <c r="C45" s="50" t="s">
        <v>95</v>
      </c>
      <c r="D45" s="50" t="s">
        <v>159</v>
      </c>
      <c r="E45" s="57" t="s">
        <v>155</v>
      </c>
      <c r="F45" s="80">
        <v>4</v>
      </c>
      <c r="G45" s="49">
        <f>'Simplified calculation tool'!C30</f>
        <v>2000</v>
      </c>
      <c r="H45" s="99">
        <f>F45*G45</f>
        <v>8000</v>
      </c>
    </row>
    <row r="46" spans="2:8" x14ac:dyDescent="0.25">
      <c r="B46" s="199" t="s">
        <v>211</v>
      </c>
      <c r="C46" s="200"/>
      <c r="D46" s="200"/>
      <c r="E46" s="200"/>
      <c r="F46" s="200"/>
      <c r="G46" s="201"/>
      <c r="H46" s="98">
        <f>'Detailed O&amp;M costs'!I152</f>
        <v>16000</v>
      </c>
    </row>
    <row r="47" spans="2:8" x14ac:dyDescent="0.25">
      <c r="B47" s="48" t="s">
        <v>143</v>
      </c>
      <c r="C47" s="175" t="s">
        <v>6</v>
      </c>
      <c r="D47" s="175"/>
      <c r="E47" s="175"/>
      <c r="F47" s="175"/>
      <c r="G47" s="175"/>
      <c r="H47" s="176"/>
    </row>
    <row r="48" spans="2:8" x14ac:dyDescent="0.25">
      <c r="B48" s="65" t="s">
        <v>144</v>
      </c>
      <c r="C48" s="50" t="s">
        <v>154</v>
      </c>
      <c r="D48" s="50" t="s">
        <v>159</v>
      </c>
      <c r="E48" s="57" t="s">
        <v>155</v>
      </c>
      <c r="F48" s="80">
        <v>1</v>
      </c>
      <c r="G48" s="49">
        <f>'Simplified calculation tool'!C33</f>
        <v>100000</v>
      </c>
      <c r="H48" s="99">
        <f>F48*G48</f>
        <v>100000</v>
      </c>
    </row>
    <row r="49" spans="2:10" x14ac:dyDescent="0.25">
      <c r="B49" s="199" t="s">
        <v>212</v>
      </c>
      <c r="C49" s="200"/>
      <c r="D49" s="200"/>
      <c r="E49" s="200"/>
      <c r="F49" s="200"/>
      <c r="G49" s="201"/>
      <c r="H49" s="98">
        <f>SUM(H48)</f>
        <v>100000</v>
      </c>
    </row>
    <row r="50" spans="2:10" ht="8.25" customHeight="1" x14ac:dyDescent="0.25">
      <c r="B50" s="183"/>
      <c r="C50" s="184"/>
      <c r="D50" s="184"/>
      <c r="E50" s="184"/>
      <c r="F50" s="184"/>
      <c r="G50" s="184"/>
      <c r="H50" s="185"/>
    </row>
    <row r="51" spans="2:10" x14ac:dyDescent="0.25">
      <c r="B51" s="180" t="s">
        <v>245</v>
      </c>
      <c r="C51" s="181"/>
      <c r="D51" s="181"/>
      <c r="E51" s="181"/>
      <c r="F51" s="181"/>
      <c r="G51" s="181"/>
      <c r="H51" s="127">
        <f>'Detailed O&amp;M costs'!I160</f>
        <v>670376.35</v>
      </c>
    </row>
    <row r="53" spans="2:10" ht="15.75" x14ac:dyDescent="0.25">
      <c r="B53" s="182" t="s">
        <v>165</v>
      </c>
      <c r="C53" s="182"/>
      <c r="D53" s="182"/>
      <c r="E53" s="182"/>
      <c r="F53" s="182"/>
      <c r="G53" s="182"/>
      <c r="H53" s="182"/>
    </row>
    <row r="54" spans="2:10" ht="45" x14ac:dyDescent="0.25">
      <c r="B54" s="34" t="s">
        <v>4</v>
      </c>
      <c r="C54" s="177" t="s">
        <v>3</v>
      </c>
      <c r="D54" s="178"/>
      <c r="E54" s="179"/>
      <c r="F54" s="35" t="s">
        <v>239</v>
      </c>
      <c r="G54" s="35" t="s">
        <v>241</v>
      </c>
      <c r="H54" s="36" t="s">
        <v>242</v>
      </c>
    </row>
    <row r="55" spans="2:10" x14ac:dyDescent="0.25">
      <c r="B55" s="65" t="s">
        <v>145</v>
      </c>
      <c r="C55" s="187" t="s">
        <v>240</v>
      </c>
      <c r="D55" s="188"/>
      <c r="E55" s="189"/>
      <c r="F55" s="66">
        <v>30</v>
      </c>
      <c r="G55" s="67">
        <f>'Simplified calculation tool'!C36</f>
        <v>8300000</v>
      </c>
      <c r="H55" s="103">
        <f>G55/F55</f>
        <v>276666.66666666669</v>
      </c>
      <c r="I55" s="68"/>
      <c r="J55" s="68"/>
    </row>
    <row r="56" spans="2:10" x14ac:dyDescent="0.25">
      <c r="B56" s="180" t="s">
        <v>246</v>
      </c>
      <c r="C56" s="181"/>
      <c r="D56" s="181"/>
      <c r="E56" s="181"/>
      <c r="F56" s="181"/>
      <c r="G56" s="186"/>
      <c r="H56" s="104">
        <f>SUM(H55)</f>
        <v>276666.66666666669</v>
      </c>
      <c r="I56" s="68"/>
      <c r="J56" s="68"/>
    </row>
    <row r="57" spans="2:10" x14ac:dyDescent="0.25">
      <c r="B57" s="33"/>
      <c r="C57" s="33"/>
      <c r="D57" s="33"/>
      <c r="E57" s="33"/>
      <c r="F57" s="33"/>
      <c r="G57" s="33"/>
      <c r="H57" s="69"/>
    </row>
    <row r="58" spans="2:10" ht="15.75" x14ac:dyDescent="0.25">
      <c r="B58" s="182" t="s">
        <v>166</v>
      </c>
      <c r="C58" s="182"/>
      <c r="D58" s="182"/>
      <c r="E58" s="182"/>
      <c r="F58" s="182"/>
      <c r="G58" s="182"/>
      <c r="H58" s="182"/>
    </row>
    <row r="59" spans="2:10" ht="30" x14ac:dyDescent="0.25">
      <c r="B59" s="34" t="s">
        <v>4</v>
      </c>
      <c r="C59" s="177" t="s">
        <v>3</v>
      </c>
      <c r="D59" s="178"/>
      <c r="E59" s="178"/>
      <c r="F59" s="178"/>
      <c r="G59" s="179"/>
      <c r="H59" s="36" t="s">
        <v>156</v>
      </c>
    </row>
    <row r="60" spans="2:10" x14ac:dyDescent="0.25">
      <c r="B60" s="202" t="s">
        <v>247</v>
      </c>
      <c r="C60" s="203"/>
      <c r="D60" s="203"/>
      <c r="E60" s="203"/>
      <c r="F60" s="203"/>
      <c r="G60" s="204"/>
      <c r="H60" s="104">
        <f>H51+H56</f>
        <v>947043.0166666666</v>
      </c>
    </row>
    <row r="62" spans="2:10" ht="15.75" x14ac:dyDescent="0.25">
      <c r="B62" s="182" t="s">
        <v>167</v>
      </c>
      <c r="C62" s="182"/>
      <c r="D62" s="182"/>
      <c r="E62" s="182"/>
      <c r="F62" s="182"/>
      <c r="G62" s="182"/>
      <c r="H62" s="182"/>
    </row>
    <row r="63" spans="2:10" ht="30" x14ac:dyDescent="0.25">
      <c r="B63" s="34" t="s">
        <v>4</v>
      </c>
      <c r="C63" s="177" t="s">
        <v>3</v>
      </c>
      <c r="D63" s="178"/>
      <c r="E63" s="179"/>
      <c r="F63" s="35" t="s">
        <v>91</v>
      </c>
      <c r="G63" s="35" t="s">
        <v>238</v>
      </c>
      <c r="H63" s="36" t="s">
        <v>98</v>
      </c>
    </row>
    <row r="64" spans="2:10" x14ac:dyDescent="0.25">
      <c r="B64" s="63" t="s">
        <v>146</v>
      </c>
      <c r="C64" s="196" t="s">
        <v>194</v>
      </c>
      <c r="D64" s="197"/>
      <c r="E64" s="197"/>
      <c r="F64" s="197"/>
      <c r="G64" s="197"/>
      <c r="H64" s="198"/>
    </row>
    <row r="65" spans="2:9" x14ac:dyDescent="0.25">
      <c r="B65" s="63" t="s">
        <v>157</v>
      </c>
      <c r="C65" s="190" t="s">
        <v>195</v>
      </c>
      <c r="D65" s="191"/>
      <c r="E65" s="192"/>
      <c r="F65" s="106">
        <f>(H60/H6)</f>
        <v>59.190188541666664</v>
      </c>
      <c r="G65" s="70">
        <v>0.1</v>
      </c>
      <c r="H65" s="105">
        <f>F65+(G65*F65)</f>
        <v>65.109207395833337</v>
      </c>
    </row>
    <row r="66" spans="2:9" x14ac:dyDescent="0.25">
      <c r="B66" s="63" t="s">
        <v>147</v>
      </c>
      <c r="C66" s="193" t="s">
        <v>90</v>
      </c>
      <c r="D66" s="194"/>
      <c r="E66" s="194"/>
      <c r="F66" s="194"/>
      <c r="G66" s="194"/>
      <c r="H66" s="195"/>
    </row>
    <row r="67" spans="2:9" x14ac:dyDescent="0.25">
      <c r="B67" s="63" t="s">
        <v>148</v>
      </c>
      <c r="C67" s="169" t="s">
        <v>243</v>
      </c>
      <c r="D67" s="170"/>
      <c r="E67" s="171"/>
      <c r="F67" s="107">
        <f>$F$65*(AVERAGE(5,9))</f>
        <v>414.33131979166666</v>
      </c>
      <c r="G67" s="70">
        <v>0.1</v>
      </c>
      <c r="H67" s="104">
        <f>ROUNDDOWN(F67+(G67*F67),-2)</f>
        <v>400</v>
      </c>
      <c r="I67" s="110"/>
    </row>
    <row r="68" spans="2:9" x14ac:dyDescent="0.25">
      <c r="B68" s="63" t="s">
        <v>149</v>
      </c>
      <c r="C68" s="169" t="s">
        <v>244</v>
      </c>
      <c r="D68" s="170"/>
      <c r="E68" s="171"/>
      <c r="F68" s="112">
        <f>$F$65*AVERAGE(10,14)</f>
        <v>710.2822625</v>
      </c>
      <c r="G68" s="70">
        <v>0.1</v>
      </c>
      <c r="H68" s="104">
        <f>ROUNDDOWN(F68+(G68*F68),-2)</f>
        <v>700</v>
      </c>
      <c r="I68" s="110"/>
    </row>
    <row r="69" spans="2:9" x14ac:dyDescent="0.25">
      <c r="B69" s="72" t="s">
        <v>150</v>
      </c>
      <c r="C69" s="172" t="s">
        <v>196</v>
      </c>
      <c r="D69" s="173"/>
      <c r="E69" s="174"/>
      <c r="F69" s="111">
        <f>$F$65*AVERAGE(15,20)</f>
        <v>1035.8282994791666</v>
      </c>
      <c r="G69" s="73">
        <v>0.1</v>
      </c>
      <c r="H69" s="104">
        <f>ROUNDDOWN(F69+(G69*F69),-2)</f>
        <v>1100</v>
      </c>
      <c r="I69" s="110"/>
    </row>
    <row r="71" spans="2:9" x14ac:dyDescent="0.25">
      <c r="B71" s="83" t="s">
        <v>230</v>
      </c>
    </row>
  </sheetData>
  <mergeCells count="39">
    <mergeCell ref="B8:H8"/>
    <mergeCell ref="C34:H34"/>
    <mergeCell ref="C43:H43"/>
    <mergeCell ref="C41:H41"/>
    <mergeCell ref="B40:G40"/>
    <mergeCell ref="C38:H38"/>
    <mergeCell ref="B37:G37"/>
    <mergeCell ref="C67:E67"/>
    <mergeCell ref="B46:G46"/>
    <mergeCell ref="B49:G49"/>
    <mergeCell ref="B60:G60"/>
    <mergeCell ref="B2:H2"/>
    <mergeCell ref="B29:G29"/>
    <mergeCell ref="C31:H31"/>
    <mergeCell ref="C30:H30"/>
    <mergeCell ref="C10:H10"/>
    <mergeCell ref="B13:G13"/>
    <mergeCell ref="C14:H14"/>
    <mergeCell ref="B21:G21"/>
    <mergeCell ref="C22:H22"/>
    <mergeCell ref="C5:E5"/>
    <mergeCell ref="C6:E6"/>
    <mergeCell ref="B4:H4"/>
    <mergeCell ref="C68:E68"/>
    <mergeCell ref="C69:E69"/>
    <mergeCell ref="C47:H47"/>
    <mergeCell ref="C54:E54"/>
    <mergeCell ref="B51:G51"/>
    <mergeCell ref="B53:H53"/>
    <mergeCell ref="B58:H58"/>
    <mergeCell ref="B62:H62"/>
    <mergeCell ref="B50:H50"/>
    <mergeCell ref="B56:G56"/>
    <mergeCell ref="C55:E55"/>
    <mergeCell ref="C59:G59"/>
    <mergeCell ref="C63:E63"/>
    <mergeCell ref="C65:E65"/>
    <mergeCell ref="C66:H66"/>
    <mergeCell ref="C64:H64"/>
  </mergeCells>
  <pageMargins left="0.7" right="0.7" top="0.75" bottom="0.75" header="0.3" footer="0.3"/>
  <pageSetup paperSize="9" scale="3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60"/>
  <sheetViews>
    <sheetView topLeftCell="A142" zoomScaleNormal="100" zoomScalePageLayoutView="50" workbookViewId="0">
      <selection activeCell="I160" sqref="I160"/>
    </sheetView>
  </sheetViews>
  <sheetFormatPr defaultColWidth="9.140625" defaultRowHeight="15" x14ac:dyDescent="0.25"/>
  <cols>
    <col min="1" max="1" width="4.140625" style="2" customWidth="1"/>
    <col min="2" max="2" width="5.5703125" style="2" customWidth="1"/>
    <col min="3" max="3" width="38.42578125" style="2" customWidth="1"/>
    <col min="4" max="4" width="31.42578125" style="2" customWidth="1"/>
    <col min="5" max="5" width="9" style="2" customWidth="1"/>
    <col min="6" max="6" width="5.42578125" style="2" customWidth="1"/>
    <col min="7" max="7" width="15.140625" style="2" customWidth="1"/>
    <col min="8" max="8" width="13" style="2" customWidth="1"/>
    <col min="9" max="9" width="16.42578125" style="2" customWidth="1"/>
    <col min="10" max="12" width="9.140625" style="2"/>
    <col min="13" max="13" width="16.85546875" style="2" customWidth="1"/>
    <col min="14" max="14" width="15.28515625" style="2" bestFit="1" customWidth="1"/>
    <col min="15" max="15" width="15.7109375" style="2" customWidth="1"/>
    <col min="16" max="16" width="19" style="2" customWidth="1"/>
    <col min="17" max="17" width="21.42578125" style="2" bestFit="1" customWidth="1"/>
    <col min="18" max="18" width="19.5703125" style="2" customWidth="1"/>
    <col min="19" max="16384" width="9.140625" style="2"/>
  </cols>
  <sheetData>
    <row r="1" spans="2:11" ht="21" x14ac:dyDescent="0.35">
      <c r="B1" s="1" t="s">
        <v>158</v>
      </c>
    </row>
    <row r="2" spans="2:11" ht="22.5" customHeight="1" x14ac:dyDescent="0.25">
      <c r="B2" s="221" t="s">
        <v>228</v>
      </c>
      <c r="C2" s="221"/>
      <c r="D2" s="221"/>
      <c r="E2" s="221"/>
      <c r="F2" s="221"/>
      <c r="G2" s="221"/>
      <c r="H2" s="221"/>
      <c r="I2" s="221"/>
    </row>
    <row r="3" spans="2:11" ht="37.5" customHeight="1" x14ac:dyDescent="0.25">
      <c r="B3" s="221"/>
      <c r="C3" s="221"/>
      <c r="D3" s="221"/>
      <c r="E3" s="221"/>
      <c r="F3" s="221"/>
      <c r="G3" s="221"/>
      <c r="H3" s="221"/>
      <c r="I3" s="221"/>
    </row>
    <row r="4" spans="2:11" ht="17.25" customHeight="1" x14ac:dyDescent="0.25">
      <c r="B4" s="94"/>
      <c r="C4" s="94"/>
      <c r="D4" s="94"/>
      <c r="E4" s="94"/>
      <c r="F4" s="94"/>
      <c r="G4" s="94"/>
      <c r="H4" s="94"/>
      <c r="I4" s="94"/>
    </row>
    <row r="5" spans="2:11" x14ac:dyDescent="0.25">
      <c r="B5" s="226" t="s">
        <v>170</v>
      </c>
      <c r="C5" s="226"/>
      <c r="D5" s="226"/>
      <c r="E5" s="226"/>
      <c r="F5" s="226"/>
      <c r="G5" s="226"/>
      <c r="H5" s="226"/>
      <c r="I5" s="226"/>
    </row>
    <row r="6" spans="2:11" ht="30" x14ac:dyDescent="0.25">
      <c r="B6" s="24" t="s">
        <v>4</v>
      </c>
      <c r="C6" s="25" t="s">
        <v>171</v>
      </c>
      <c r="D6" s="25" t="s">
        <v>3</v>
      </c>
      <c r="E6" s="25" t="s">
        <v>176</v>
      </c>
      <c r="F6" s="25" t="s">
        <v>9</v>
      </c>
      <c r="G6" s="25" t="s">
        <v>10</v>
      </c>
      <c r="H6" s="25" t="s">
        <v>84</v>
      </c>
      <c r="I6" s="26" t="s">
        <v>86</v>
      </c>
    </row>
    <row r="7" spans="2:11" x14ac:dyDescent="0.25">
      <c r="B7" s="23" t="s">
        <v>120</v>
      </c>
      <c r="C7" s="222" t="s">
        <v>7</v>
      </c>
      <c r="D7" s="222"/>
      <c r="E7" s="222"/>
      <c r="F7" s="222"/>
      <c r="G7" s="222"/>
      <c r="H7" s="222"/>
      <c r="I7" s="223"/>
    </row>
    <row r="8" spans="2:11" x14ac:dyDescent="0.25">
      <c r="B8" s="8" t="s">
        <v>121</v>
      </c>
      <c r="C8" s="3" t="s">
        <v>5</v>
      </c>
      <c r="D8" s="15"/>
      <c r="E8" s="5" t="s">
        <v>159</v>
      </c>
      <c r="F8" s="74" t="s">
        <v>155</v>
      </c>
      <c r="G8" s="75">
        <f>'Simplified calculation tool'!C6</f>
        <v>320</v>
      </c>
      <c r="H8" s="76">
        <f>'Simplified calculation tool'!C9</f>
        <v>700</v>
      </c>
      <c r="I8" s="96">
        <f>PRODUCT(F8,G8,H8)</f>
        <v>224000</v>
      </c>
    </row>
    <row r="9" spans="2:11" x14ac:dyDescent="0.25">
      <c r="B9" s="8" t="s">
        <v>122</v>
      </c>
      <c r="C9" s="3" t="s">
        <v>8</v>
      </c>
      <c r="D9" s="15"/>
      <c r="E9" s="5" t="s">
        <v>159</v>
      </c>
      <c r="F9" s="74" t="s">
        <v>155</v>
      </c>
      <c r="G9" s="77">
        <f>365</f>
        <v>365</v>
      </c>
      <c r="H9" s="76">
        <f>'Simplified calculation tool'!C12</f>
        <v>500</v>
      </c>
      <c r="I9" s="96">
        <f>PRODUCT(F9,G9,H9)</f>
        <v>182500</v>
      </c>
      <c r="K9" s="113"/>
    </row>
    <row r="10" spans="2:11" x14ac:dyDescent="0.25">
      <c r="B10" s="8"/>
      <c r="C10" s="3"/>
      <c r="D10" s="15"/>
      <c r="E10" s="5"/>
      <c r="F10" s="5"/>
      <c r="G10" s="16"/>
      <c r="H10" s="7"/>
      <c r="I10" s="96">
        <f t="shared" ref="I10:I12" si="0">PRODUCT(F10,G10,H10)</f>
        <v>0</v>
      </c>
    </row>
    <row r="11" spans="2:11" x14ac:dyDescent="0.25">
      <c r="B11" s="8"/>
      <c r="C11" s="3"/>
      <c r="D11" s="15"/>
      <c r="E11" s="5"/>
      <c r="F11" s="5"/>
      <c r="G11" s="16"/>
      <c r="H11" s="7"/>
      <c r="I11" s="96">
        <f t="shared" si="0"/>
        <v>0</v>
      </c>
    </row>
    <row r="12" spans="2:11" x14ac:dyDescent="0.25">
      <c r="B12" s="9"/>
      <c r="C12" s="3"/>
      <c r="D12" s="15"/>
      <c r="E12" s="5"/>
      <c r="F12" s="5"/>
      <c r="G12" s="16"/>
      <c r="H12" s="7"/>
      <c r="I12" s="96">
        <f t="shared" si="0"/>
        <v>0</v>
      </c>
    </row>
    <row r="13" spans="2:11" x14ac:dyDescent="0.25">
      <c r="B13" s="224" t="s">
        <v>197</v>
      </c>
      <c r="C13" s="225"/>
      <c r="D13" s="225"/>
      <c r="E13" s="225"/>
      <c r="F13" s="225"/>
      <c r="G13" s="225"/>
      <c r="H13" s="225"/>
      <c r="I13" s="97">
        <f>SUM(I8:I12)</f>
        <v>406500</v>
      </c>
    </row>
    <row r="14" spans="2:11" x14ac:dyDescent="0.25">
      <c r="B14" s="23" t="s">
        <v>123</v>
      </c>
      <c r="C14" s="227" t="s">
        <v>11</v>
      </c>
      <c r="D14" s="227"/>
      <c r="E14" s="227"/>
      <c r="F14" s="227"/>
      <c r="G14" s="227"/>
      <c r="H14" s="227"/>
      <c r="I14" s="228"/>
    </row>
    <row r="15" spans="2:11" x14ac:dyDescent="0.25">
      <c r="B15" s="8" t="s">
        <v>124</v>
      </c>
      <c r="C15" s="3" t="s">
        <v>232</v>
      </c>
      <c r="D15" s="4" t="s">
        <v>12</v>
      </c>
      <c r="E15" s="5" t="s">
        <v>160</v>
      </c>
      <c r="F15" s="4">
        <v>2</v>
      </c>
      <c r="G15" s="71">
        <f>1/2</f>
        <v>0.5</v>
      </c>
      <c r="H15" s="6">
        <v>1350</v>
      </c>
      <c r="I15" s="96">
        <f t="shared" ref="I15:I24" si="1">PRODUCT(F15,G15,H15)</f>
        <v>1350</v>
      </c>
    </row>
    <row r="16" spans="2:11" x14ac:dyDescent="0.25">
      <c r="B16" s="9"/>
      <c r="C16" s="15"/>
      <c r="D16" s="4" t="s">
        <v>13</v>
      </c>
      <c r="E16" s="5" t="s">
        <v>160</v>
      </c>
      <c r="F16" s="4">
        <v>2</v>
      </c>
      <c r="G16" s="71">
        <f>1/2</f>
        <v>0.5</v>
      </c>
      <c r="H16" s="6">
        <v>700</v>
      </c>
      <c r="I16" s="96">
        <f t="shared" si="1"/>
        <v>700</v>
      </c>
    </row>
    <row r="17" spans="2:9" x14ac:dyDescent="0.25">
      <c r="B17" s="9"/>
      <c r="C17" s="15"/>
      <c r="D17" s="4" t="s">
        <v>14</v>
      </c>
      <c r="E17" s="5" t="s">
        <v>160</v>
      </c>
      <c r="F17" s="4">
        <v>2</v>
      </c>
      <c r="G17" s="71">
        <f>1/2</f>
        <v>0.5</v>
      </c>
      <c r="H17" s="6">
        <v>915</v>
      </c>
      <c r="I17" s="96">
        <f t="shared" si="1"/>
        <v>915</v>
      </c>
    </row>
    <row r="18" spans="2:9" x14ac:dyDescent="0.25">
      <c r="B18" s="9"/>
      <c r="C18" s="15"/>
      <c r="D18" s="4" t="s">
        <v>15</v>
      </c>
      <c r="E18" s="5" t="s">
        <v>160</v>
      </c>
      <c r="F18" s="4">
        <v>4</v>
      </c>
      <c r="G18" s="71">
        <f>1</f>
        <v>1</v>
      </c>
      <c r="H18" s="6">
        <v>800</v>
      </c>
      <c r="I18" s="96">
        <f t="shared" si="1"/>
        <v>3200</v>
      </c>
    </row>
    <row r="19" spans="2:9" x14ac:dyDescent="0.25">
      <c r="B19" s="9"/>
      <c r="C19" s="15"/>
      <c r="D19" s="4" t="s">
        <v>16</v>
      </c>
      <c r="E19" s="5" t="s">
        <v>160</v>
      </c>
      <c r="F19" s="4">
        <v>2</v>
      </c>
      <c r="G19" s="71">
        <f>1</f>
        <v>1</v>
      </c>
      <c r="H19" s="6">
        <v>140</v>
      </c>
      <c r="I19" s="96">
        <f t="shared" si="1"/>
        <v>280</v>
      </c>
    </row>
    <row r="20" spans="2:9" x14ac:dyDescent="0.25">
      <c r="B20" s="9"/>
      <c r="C20" s="15"/>
      <c r="D20" s="4" t="s">
        <v>17</v>
      </c>
      <c r="E20" s="5" t="s">
        <v>160</v>
      </c>
      <c r="F20" s="4">
        <v>2</v>
      </c>
      <c r="G20" s="71">
        <f>1/2</f>
        <v>0.5</v>
      </c>
      <c r="H20" s="6">
        <v>2500</v>
      </c>
      <c r="I20" s="96">
        <f t="shared" si="1"/>
        <v>2500</v>
      </c>
    </row>
    <row r="21" spans="2:9" x14ac:dyDescent="0.25">
      <c r="B21" s="9"/>
      <c r="C21" s="15"/>
      <c r="D21" s="4" t="s">
        <v>18</v>
      </c>
      <c r="E21" s="5" t="s">
        <v>160</v>
      </c>
      <c r="F21" s="4">
        <v>2</v>
      </c>
      <c r="G21" s="71">
        <f>1/5</f>
        <v>0.2</v>
      </c>
      <c r="H21" s="6">
        <v>2000</v>
      </c>
      <c r="I21" s="96">
        <f t="shared" si="1"/>
        <v>800</v>
      </c>
    </row>
    <row r="22" spans="2:9" x14ac:dyDescent="0.25">
      <c r="B22" s="9"/>
      <c r="C22" s="15"/>
      <c r="D22" s="4"/>
      <c r="E22" s="5"/>
      <c r="F22" s="4"/>
      <c r="G22" s="4"/>
      <c r="H22" s="6"/>
      <c r="I22" s="96">
        <f t="shared" si="1"/>
        <v>0</v>
      </c>
    </row>
    <row r="23" spans="2:9" x14ac:dyDescent="0.25">
      <c r="B23" s="9"/>
      <c r="C23" s="15"/>
      <c r="D23" s="4"/>
      <c r="E23" s="5"/>
      <c r="F23" s="4"/>
      <c r="G23" s="4"/>
      <c r="H23" s="6"/>
      <c r="I23" s="96">
        <f t="shared" si="1"/>
        <v>0</v>
      </c>
    </row>
    <row r="24" spans="2:9" x14ac:dyDescent="0.25">
      <c r="B24" s="9"/>
      <c r="C24" s="15"/>
      <c r="D24" s="4"/>
      <c r="E24" s="5"/>
      <c r="F24" s="4"/>
      <c r="G24" s="4"/>
      <c r="H24" s="6"/>
      <c r="I24" s="96">
        <f t="shared" si="1"/>
        <v>0</v>
      </c>
    </row>
    <row r="25" spans="2:9" x14ac:dyDescent="0.25">
      <c r="B25" s="229" t="s">
        <v>187</v>
      </c>
      <c r="C25" s="230"/>
      <c r="D25" s="230"/>
      <c r="E25" s="230"/>
      <c r="F25" s="230"/>
      <c r="G25" s="230"/>
      <c r="H25" s="230"/>
      <c r="I25" s="109">
        <f>SUM(I15:I24)</f>
        <v>9745</v>
      </c>
    </row>
    <row r="26" spans="2:9" x14ac:dyDescent="0.25">
      <c r="B26" s="8" t="s">
        <v>125</v>
      </c>
      <c r="C26" s="4" t="s">
        <v>19</v>
      </c>
      <c r="D26" s="4" t="s">
        <v>20</v>
      </c>
      <c r="E26" s="5" t="s">
        <v>160</v>
      </c>
      <c r="F26" s="4">
        <v>1</v>
      </c>
      <c r="G26" s="71">
        <f>1/10</f>
        <v>0.1</v>
      </c>
      <c r="H26" s="6">
        <v>3000</v>
      </c>
      <c r="I26" s="99">
        <f>F26*G26*H26</f>
        <v>300</v>
      </c>
    </row>
    <row r="27" spans="2:9" x14ac:dyDescent="0.25">
      <c r="B27" s="9"/>
      <c r="C27" s="4"/>
      <c r="D27" s="4" t="s">
        <v>21</v>
      </c>
      <c r="E27" s="5" t="s">
        <v>160</v>
      </c>
      <c r="F27" s="4">
        <v>1</v>
      </c>
      <c r="G27" s="71">
        <f>1/2</f>
        <v>0.5</v>
      </c>
      <c r="H27" s="6">
        <v>2600</v>
      </c>
      <c r="I27" s="99">
        <f>F27*G27*H27</f>
        <v>1300</v>
      </c>
    </row>
    <row r="28" spans="2:9" x14ac:dyDescent="0.25">
      <c r="B28" s="9"/>
      <c r="C28" s="4"/>
      <c r="D28" s="4" t="s">
        <v>22</v>
      </c>
      <c r="E28" s="5" t="s">
        <v>160</v>
      </c>
      <c r="F28" s="4">
        <v>1</v>
      </c>
      <c r="G28" s="71">
        <f>1/5</f>
        <v>0.2</v>
      </c>
      <c r="H28" s="6">
        <v>4000</v>
      </c>
      <c r="I28" s="99">
        <f>F28*G28*H28</f>
        <v>800</v>
      </c>
    </row>
    <row r="29" spans="2:9" x14ac:dyDescent="0.25">
      <c r="B29" s="9"/>
      <c r="C29" s="4"/>
      <c r="D29" s="4" t="s">
        <v>161</v>
      </c>
      <c r="E29" s="5" t="s">
        <v>160</v>
      </c>
      <c r="F29" s="4">
        <v>1</v>
      </c>
      <c r="G29" s="71">
        <f>1/10</f>
        <v>0.1</v>
      </c>
      <c r="H29" s="6">
        <v>1500</v>
      </c>
      <c r="I29" s="99">
        <f>F29*G29*H29</f>
        <v>150</v>
      </c>
    </row>
    <row r="30" spans="2:9" x14ac:dyDescent="0.25">
      <c r="B30" s="9"/>
      <c r="C30" s="4"/>
      <c r="D30" s="4"/>
      <c r="E30" s="5"/>
      <c r="F30" s="4"/>
      <c r="G30" s="4"/>
      <c r="H30" s="6"/>
      <c r="I30" s="96">
        <f t="shared" ref="I30:I32" si="2">PRODUCT(F30,G30,H30)</f>
        <v>0</v>
      </c>
    </row>
    <row r="31" spans="2:9" x14ac:dyDescent="0.25">
      <c r="B31" s="9"/>
      <c r="C31" s="4"/>
      <c r="D31" s="4"/>
      <c r="E31" s="5"/>
      <c r="F31" s="4"/>
      <c r="G31" s="4"/>
      <c r="H31" s="6"/>
      <c r="I31" s="96">
        <f t="shared" si="2"/>
        <v>0</v>
      </c>
    </row>
    <row r="32" spans="2:9" x14ac:dyDescent="0.25">
      <c r="B32" s="9"/>
      <c r="C32" s="4"/>
      <c r="D32" s="4"/>
      <c r="E32" s="5"/>
      <c r="F32" s="4"/>
      <c r="G32" s="4"/>
      <c r="H32" s="6"/>
      <c r="I32" s="96">
        <f t="shared" si="2"/>
        <v>0</v>
      </c>
    </row>
    <row r="33" spans="2:9" x14ac:dyDescent="0.25">
      <c r="B33" s="229" t="s">
        <v>188</v>
      </c>
      <c r="C33" s="230"/>
      <c r="D33" s="230"/>
      <c r="E33" s="230"/>
      <c r="F33" s="230"/>
      <c r="G33" s="230"/>
      <c r="H33" s="230"/>
      <c r="I33" s="109">
        <f>SUM(I26:I32)</f>
        <v>2550</v>
      </c>
    </row>
    <row r="34" spans="2:9" x14ac:dyDescent="0.25">
      <c r="B34" s="8" t="s">
        <v>126</v>
      </c>
      <c r="C34" s="4" t="s">
        <v>23</v>
      </c>
      <c r="D34" s="4" t="s">
        <v>24</v>
      </c>
      <c r="E34" s="5" t="s">
        <v>160</v>
      </c>
      <c r="F34" s="4">
        <v>1</v>
      </c>
      <c r="G34" s="71">
        <f>1/5</f>
        <v>0.2</v>
      </c>
      <c r="H34" s="6">
        <v>13000</v>
      </c>
      <c r="I34" s="99">
        <f>F34*G34*H34</f>
        <v>2600</v>
      </c>
    </row>
    <row r="35" spans="2:9" x14ac:dyDescent="0.25">
      <c r="B35" s="9"/>
      <c r="C35" s="4"/>
      <c r="D35" s="4" t="s">
        <v>25</v>
      </c>
      <c r="E35" s="5" t="s">
        <v>160</v>
      </c>
      <c r="F35" s="4">
        <v>1</v>
      </c>
      <c r="G35" s="71">
        <f>1/5</f>
        <v>0.2</v>
      </c>
      <c r="H35" s="6">
        <v>2000</v>
      </c>
      <c r="I35" s="99">
        <f>F35*G35*H35</f>
        <v>400</v>
      </c>
    </row>
    <row r="36" spans="2:9" x14ac:dyDescent="0.25">
      <c r="B36" s="9"/>
      <c r="C36" s="4"/>
      <c r="D36" s="4" t="s">
        <v>26</v>
      </c>
      <c r="E36" s="5" t="s">
        <v>160</v>
      </c>
      <c r="F36" s="4">
        <v>1</v>
      </c>
      <c r="G36" s="114">
        <f>1/3</f>
        <v>0.33333333333333331</v>
      </c>
      <c r="H36" s="6">
        <v>1000</v>
      </c>
      <c r="I36" s="99">
        <f>F36*G36*H36</f>
        <v>333.33333333333331</v>
      </c>
    </row>
    <row r="37" spans="2:9" x14ac:dyDescent="0.25">
      <c r="B37" s="9"/>
      <c r="C37" s="4"/>
      <c r="D37" s="4" t="s">
        <v>27</v>
      </c>
      <c r="E37" s="5" t="s">
        <v>160</v>
      </c>
      <c r="F37" s="4">
        <v>1</v>
      </c>
      <c r="G37" s="115">
        <f>1/2</f>
        <v>0.5</v>
      </c>
      <c r="H37" s="6">
        <v>1500</v>
      </c>
      <c r="I37" s="99">
        <f>F37*G37*H37</f>
        <v>750</v>
      </c>
    </row>
    <row r="38" spans="2:9" x14ac:dyDescent="0.25">
      <c r="B38" s="9"/>
      <c r="C38" s="4"/>
      <c r="D38" s="4" t="s">
        <v>28</v>
      </c>
      <c r="E38" s="5" t="s">
        <v>160</v>
      </c>
      <c r="F38" s="4">
        <v>1</v>
      </c>
      <c r="G38" s="71">
        <f>1/20</f>
        <v>0.05</v>
      </c>
      <c r="H38" s="6">
        <v>10000</v>
      </c>
      <c r="I38" s="99">
        <f>F38*G38*H38</f>
        <v>500</v>
      </c>
    </row>
    <row r="39" spans="2:9" x14ac:dyDescent="0.25">
      <c r="B39" s="9"/>
      <c r="C39" s="4"/>
      <c r="D39" s="4"/>
      <c r="E39" s="5"/>
      <c r="F39" s="4"/>
      <c r="G39" s="4"/>
      <c r="H39" s="6"/>
      <c r="I39" s="96">
        <f t="shared" ref="I39:I41" si="3">PRODUCT(F39,G39,H39)</f>
        <v>0</v>
      </c>
    </row>
    <row r="40" spans="2:9" x14ac:dyDescent="0.25">
      <c r="B40" s="9"/>
      <c r="C40" s="4"/>
      <c r="D40" s="4"/>
      <c r="E40" s="5"/>
      <c r="F40" s="4"/>
      <c r="G40" s="4"/>
      <c r="H40" s="6"/>
      <c r="I40" s="96">
        <f t="shared" si="3"/>
        <v>0</v>
      </c>
    </row>
    <row r="41" spans="2:9" x14ac:dyDescent="0.25">
      <c r="B41" s="9"/>
      <c r="C41" s="4"/>
      <c r="D41" s="4"/>
      <c r="E41" s="5"/>
      <c r="F41" s="4"/>
      <c r="G41" s="4"/>
      <c r="H41" s="6"/>
      <c r="I41" s="96">
        <f t="shared" si="3"/>
        <v>0</v>
      </c>
    </row>
    <row r="42" spans="2:9" x14ac:dyDescent="0.25">
      <c r="B42" s="229" t="s">
        <v>189</v>
      </c>
      <c r="C42" s="230"/>
      <c r="D42" s="230"/>
      <c r="E42" s="230"/>
      <c r="F42" s="230"/>
      <c r="G42" s="230"/>
      <c r="H42" s="230"/>
      <c r="I42" s="109">
        <f>SUM(I34:I41)</f>
        <v>4583.3333333333339</v>
      </c>
    </row>
    <row r="43" spans="2:9" x14ac:dyDescent="0.25">
      <c r="B43" s="8" t="s">
        <v>127</v>
      </c>
      <c r="C43" s="4" t="s">
        <v>29</v>
      </c>
      <c r="D43" s="4" t="s">
        <v>30</v>
      </c>
      <c r="E43" s="5" t="s">
        <v>160</v>
      </c>
      <c r="F43" s="4">
        <v>1</v>
      </c>
      <c r="G43" s="71">
        <f t="shared" ref="G43:G48" si="4">1/5</f>
        <v>0.2</v>
      </c>
      <c r="H43" s="6">
        <v>895</v>
      </c>
      <c r="I43" s="99">
        <f t="shared" ref="I43:I49" si="5">F43*G43*H43</f>
        <v>179</v>
      </c>
    </row>
    <row r="44" spans="2:9" x14ac:dyDescent="0.25">
      <c r="B44" s="9"/>
      <c r="C44" s="4"/>
      <c r="D44" s="4" t="s">
        <v>31</v>
      </c>
      <c r="E44" s="5" t="s">
        <v>160</v>
      </c>
      <c r="F44" s="4">
        <v>1</v>
      </c>
      <c r="G44" s="71">
        <f t="shared" si="4"/>
        <v>0.2</v>
      </c>
      <c r="H44" s="6">
        <v>1625</v>
      </c>
      <c r="I44" s="99">
        <f t="shared" si="5"/>
        <v>325</v>
      </c>
    </row>
    <row r="45" spans="2:9" x14ac:dyDescent="0.25">
      <c r="B45" s="9"/>
      <c r="C45" s="4"/>
      <c r="D45" s="4" t="s">
        <v>32</v>
      </c>
      <c r="E45" s="5" t="s">
        <v>160</v>
      </c>
      <c r="F45" s="4">
        <v>1</v>
      </c>
      <c r="G45" s="71">
        <f t="shared" si="4"/>
        <v>0.2</v>
      </c>
      <c r="H45" s="6">
        <v>900</v>
      </c>
      <c r="I45" s="99">
        <f t="shared" si="5"/>
        <v>180</v>
      </c>
    </row>
    <row r="46" spans="2:9" x14ac:dyDescent="0.25">
      <c r="B46" s="9"/>
      <c r="C46" s="4"/>
      <c r="D46" s="4" t="s">
        <v>33</v>
      </c>
      <c r="E46" s="5" t="s">
        <v>160</v>
      </c>
      <c r="F46" s="4">
        <v>2</v>
      </c>
      <c r="G46" s="71">
        <f t="shared" si="4"/>
        <v>0.2</v>
      </c>
      <c r="H46" s="6">
        <v>900</v>
      </c>
      <c r="I46" s="99">
        <f t="shared" si="5"/>
        <v>360</v>
      </c>
    </row>
    <row r="47" spans="2:9" x14ac:dyDescent="0.25">
      <c r="B47" s="9"/>
      <c r="C47" s="4"/>
      <c r="D47" s="4" t="s">
        <v>34</v>
      </c>
      <c r="E47" s="5" t="s">
        <v>160</v>
      </c>
      <c r="F47" s="4">
        <v>1</v>
      </c>
      <c r="G47" s="116">
        <f t="shared" si="4"/>
        <v>0.2</v>
      </c>
      <c r="H47" s="6">
        <v>4000</v>
      </c>
      <c r="I47" s="99">
        <f t="shared" si="5"/>
        <v>800</v>
      </c>
    </row>
    <row r="48" spans="2:9" x14ac:dyDescent="0.25">
      <c r="B48" s="9"/>
      <c r="C48" s="4"/>
      <c r="D48" s="4" t="s">
        <v>35</v>
      </c>
      <c r="E48" s="5" t="s">
        <v>160</v>
      </c>
      <c r="F48" s="4">
        <v>1</v>
      </c>
      <c r="G48" s="71">
        <f t="shared" si="4"/>
        <v>0.2</v>
      </c>
      <c r="H48" s="6">
        <v>400</v>
      </c>
      <c r="I48" s="99">
        <f t="shared" si="5"/>
        <v>80</v>
      </c>
    </row>
    <row r="49" spans="2:9" x14ac:dyDescent="0.25">
      <c r="B49" s="9"/>
      <c r="C49" s="4"/>
      <c r="D49" s="4" t="s">
        <v>36</v>
      </c>
      <c r="E49" s="5" t="s">
        <v>160</v>
      </c>
      <c r="F49" s="4">
        <v>2</v>
      </c>
      <c r="G49" s="71">
        <f>1/2</f>
        <v>0.5</v>
      </c>
      <c r="H49" s="6">
        <v>200</v>
      </c>
      <c r="I49" s="99">
        <f t="shared" si="5"/>
        <v>200</v>
      </c>
    </row>
    <row r="50" spans="2:9" x14ac:dyDescent="0.25">
      <c r="B50" s="9"/>
      <c r="C50" s="4"/>
      <c r="D50" s="4"/>
      <c r="E50" s="5"/>
      <c r="F50" s="4"/>
      <c r="G50" s="4"/>
      <c r="H50" s="6"/>
      <c r="I50" s="96">
        <f t="shared" ref="I50:I52" si="6">PRODUCT(F50,G50,H50)</f>
        <v>0</v>
      </c>
    </row>
    <row r="51" spans="2:9" x14ac:dyDescent="0.25">
      <c r="B51" s="9"/>
      <c r="C51" s="4"/>
      <c r="D51" s="4"/>
      <c r="E51" s="5"/>
      <c r="F51" s="4"/>
      <c r="G51" s="4"/>
      <c r="H51" s="6"/>
      <c r="I51" s="96">
        <f t="shared" si="6"/>
        <v>0</v>
      </c>
    </row>
    <row r="52" spans="2:9" x14ac:dyDescent="0.25">
      <c r="B52" s="9"/>
      <c r="C52" s="4"/>
      <c r="D52" s="4"/>
      <c r="E52" s="5"/>
      <c r="F52" s="4"/>
      <c r="G52" s="4"/>
      <c r="H52" s="6"/>
      <c r="I52" s="96">
        <f t="shared" si="6"/>
        <v>0</v>
      </c>
    </row>
    <row r="53" spans="2:9" x14ac:dyDescent="0.25">
      <c r="B53" s="229" t="s">
        <v>190</v>
      </c>
      <c r="C53" s="230"/>
      <c r="D53" s="230"/>
      <c r="E53" s="230"/>
      <c r="F53" s="230"/>
      <c r="G53" s="230"/>
      <c r="H53" s="230"/>
      <c r="I53" s="109">
        <f>SUM(I43:I52)</f>
        <v>2124</v>
      </c>
    </row>
    <row r="54" spans="2:9" x14ac:dyDescent="0.25">
      <c r="B54" s="8" t="s">
        <v>128</v>
      </c>
      <c r="C54" s="4" t="s">
        <v>199</v>
      </c>
      <c r="D54" s="4" t="s">
        <v>37</v>
      </c>
      <c r="E54" s="5" t="s">
        <v>160</v>
      </c>
      <c r="F54" s="4">
        <v>10</v>
      </c>
      <c r="G54" s="71">
        <f>1/5</f>
        <v>0.2</v>
      </c>
      <c r="H54" s="6">
        <v>418</v>
      </c>
      <c r="I54" s="99">
        <f t="shared" ref="I54:I63" si="7">F54*G54*H54</f>
        <v>836</v>
      </c>
    </row>
    <row r="55" spans="2:9" x14ac:dyDescent="0.25">
      <c r="B55" s="9"/>
      <c r="C55" s="4"/>
      <c r="D55" s="4" t="s">
        <v>38</v>
      </c>
      <c r="E55" s="5" t="s">
        <v>160</v>
      </c>
      <c r="F55" s="4">
        <v>5</v>
      </c>
      <c r="G55" s="71">
        <f>1/5</f>
        <v>0.2</v>
      </c>
      <c r="H55" s="6">
        <v>980</v>
      </c>
      <c r="I55" s="99">
        <f t="shared" si="7"/>
        <v>980</v>
      </c>
    </row>
    <row r="56" spans="2:9" x14ac:dyDescent="0.25">
      <c r="B56" s="9"/>
      <c r="C56" s="4"/>
      <c r="D56" s="4" t="s">
        <v>39</v>
      </c>
      <c r="E56" s="5" t="s">
        <v>160</v>
      </c>
      <c r="F56" s="4">
        <v>1</v>
      </c>
      <c r="G56" s="71">
        <f>1/5</f>
        <v>0.2</v>
      </c>
      <c r="H56" s="6">
        <v>14680</v>
      </c>
      <c r="I56" s="99">
        <f t="shared" si="7"/>
        <v>2936</v>
      </c>
    </row>
    <row r="57" spans="2:9" x14ac:dyDescent="0.25">
      <c r="B57" s="9"/>
      <c r="C57" s="4"/>
      <c r="D57" s="4" t="s">
        <v>40</v>
      </c>
      <c r="E57" s="5" t="s">
        <v>160</v>
      </c>
      <c r="F57" s="4">
        <v>1</v>
      </c>
      <c r="G57" s="71">
        <f>1/5</f>
        <v>0.2</v>
      </c>
      <c r="H57" s="6">
        <v>11010</v>
      </c>
      <c r="I57" s="99">
        <f t="shared" si="7"/>
        <v>2202</v>
      </c>
    </row>
    <row r="58" spans="2:9" x14ac:dyDescent="0.25">
      <c r="B58" s="9"/>
      <c r="C58" s="4"/>
      <c r="D58" s="4" t="s">
        <v>41</v>
      </c>
      <c r="E58" s="5" t="s">
        <v>160</v>
      </c>
      <c r="F58" s="4">
        <v>1</v>
      </c>
      <c r="G58" s="71">
        <f>1/10</f>
        <v>0.1</v>
      </c>
      <c r="H58" s="6">
        <v>400</v>
      </c>
      <c r="I58" s="99">
        <f t="shared" si="7"/>
        <v>40</v>
      </c>
    </row>
    <row r="59" spans="2:9" x14ac:dyDescent="0.25">
      <c r="B59" s="9"/>
      <c r="C59" s="4"/>
      <c r="D59" s="4" t="s">
        <v>42</v>
      </c>
      <c r="E59" s="5" t="s">
        <v>160</v>
      </c>
      <c r="F59" s="4">
        <v>1</v>
      </c>
      <c r="G59" s="71">
        <f>1/5</f>
        <v>0.2</v>
      </c>
      <c r="H59" s="6">
        <v>65970</v>
      </c>
      <c r="I59" s="99">
        <f t="shared" si="7"/>
        <v>13194</v>
      </c>
    </row>
    <row r="60" spans="2:9" x14ac:dyDescent="0.25">
      <c r="B60" s="9"/>
      <c r="C60" s="4"/>
      <c r="D60" s="4" t="s">
        <v>43</v>
      </c>
      <c r="E60" s="5" t="s">
        <v>160</v>
      </c>
      <c r="F60" s="4">
        <v>1</v>
      </c>
      <c r="G60" s="71">
        <f>1/5</f>
        <v>0.2</v>
      </c>
      <c r="H60" s="6">
        <v>700</v>
      </c>
      <c r="I60" s="99">
        <f t="shared" si="7"/>
        <v>140</v>
      </c>
    </row>
    <row r="61" spans="2:9" x14ac:dyDescent="0.25">
      <c r="B61" s="9"/>
      <c r="C61" s="4"/>
      <c r="D61" s="4" t="s">
        <v>44</v>
      </c>
      <c r="E61" s="5" t="s">
        <v>160</v>
      </c>
      <c r="F61" s="4">
        <v>1</v>
      </c>
      <c r="G61" s="71">
        <f>1/2</f>
        <v>0.5</v>
      </c>
      <c r="H61" s="6">
        <v>4900</v>
      </c>
      <c r="I61" s="99">
        <f t="shared" si="7"/>
        <v>2450</v>
      </c>
    </row>
    <row r="62" spans="2:9" x14ac:dyDescent="0.25">
      <c r="B62" s="9"/>
      <c r="C62" s="4"/>
      <c r="D62" s="4" t="s">
        <v>45</v>
      </c>
      <c r="E62" s="5" t="s">
        <v>160</v>
      </c>
      <c r="F62" s="4">
        <v>1</v>
      </c>
      <c r="G62" s="71">
        <f>1/5</f>
        <v>0.2</v>
      </c>
      <c r="H62" s="6">
        <v>2000</v>
      </c>
      <c r="I62" s="99">
        <f t="shared" si="7"/>
        <v>400</v>
      </c>
    </row>
    <row r="63" spans="2:9" x14ac:dyDescent="0.25">
      <c r="B63" s="9"/>
      <c r="C63" s="4"/>
      <c r="D63" s="4" t="s">
        <v>46</v>
      </c>
      <c r="E63" s="5" t="s">
        <v>160</v>
      </c>
      <c r="F63" s="4">
        <v>1</v>
      </c>
      <c r="G63" s="4">
        <v>1</v>
      </c>
      <c r="H63" s="6">
        <v>800</v>
      </c>
      <c r="I63" s="99">
        <f t="shared" si="7"/>
        <v>800</v>
      </c>
    </row>
    <row r="64" spans="2:9" x14ac:dyDescent="0.25">
      <c r="B64" s="9"/>
      <c r="C64" s="4"/>
      <c r="D64" s="4"/>
      <c r="E64" s="5"/>
      <c r="F64" s="4"/>
      <c r="G64" s="4"/>
      <c r="H64" s="6"/>
      <c r="I64" s="96">
        <f t="shared" ref="I64:I67" si="8">PRODUCT(F64,G64,H64)</f>
        <v>0</v>
      </c>
    </row>
    <row r="65" spans="2:9" x14ac:dyDescent="0.25">
      <c r="B65" s="9"/>
      <c r="C65" s="4"/>
      <c r="D65" s="4"/>
      <c r="E65" s="5"/>
      <c r="F65" s="4"/>
      <c r="G65" s="4"/>
      <c r="H65" s="6"/>
      <c r="I65" s="96">
        <f t="shared" si="8"/>
        <v>0</v>
      </c>
    </row>
    <row r="66" spans="2:9" x14ac:dyDescent="0.25">
      <c r="B66" s="9"/>
      <c r="C66" s="4"/>
      <c r="D66" s="4"/>
      <c r="E66" s="5"/>
      <c r="F66" s="4"/>
      <c r="G66" s="4"/>
      <c r="H66" s="6"/>
      <c r="I66" s="96">
        <f t="shared" si="8"/>
        <v>0</v>
      </c>
    </row>
    <row r="67" spans="2:9" x14ac:dyDescent="0.25">
      <c r="B67" s="9"/>
      <c r="C67" s="4"/>
      <c r="D67" s="4"/>
      <c r="E67" s="5"/>
      <c r="F67" s="4"/>
      <c r="G67" s="4"/>
      <c r="H67" s="6"/>
      <c r="I67" s="96">
        <f t="shared" si="8"/>
        <v>0</v>
      </c>
    </row>
    <row r="68" spans="2:9" x14ac:dyDescent="0.25">
      <c r="B68" s="229" t="s">
        <v>198</v>
      </c>
      <c r="C68" s="230"/>
      <c r="D68" s="230"/>
      <c r="E68" s="230"/>
      <c r="F68" s="230"/>
      <c r="G68" s="230"/>
      <c r="H68" s="230"/>
      <c r="I68" s="109">
        <f>SUM(I54:I67)</f>
        <v>23978</v>
      </c>
    </row>
    <row r="69" spans="2:9" x14ac:dyDescent="0.25">
      <c r="B69" s="8" t="s">
        <v>129</v>
      </c>
      <c r="C69" s="4" t="s">
        <v>47</v>
      </c>
      <c r="D69" s="4" t="s">
        <v>48</v>
      </c>
      <c r="E69" s="5" t="s">
        <v>160</v>
      </c>
      <c r="F69" s="4">
        <v>1</v>
      </c>
      <c r="G69" s="71">
        <f>1/10</f>
        <v>0.1</v>
      </c>
      <c r="H69" s="6">
        <v>20000</v>
      </c>
      <c r="I69" s="99">
        <f>F69*G69*H69</f>
        <v>2000</v>
      </c>
    </row>
    <row r="70" spans="2:9" x14ac:dyDescent="0.25">
      <c r="B70" s="9"/>
      <c r="C70" s="4"/>
      <c r="D70" s="4" t="s">
        <v>49</v>
      </c>
      <c r="E70" s="5" t="s">
        <v>160</v>
      </c>
      <c r="F70" s="4">
        <v>2</v>
      </c>
      <c r="G70" s="71">
        <f>1/10</f>
        <v>0.1</v>
      </c>
      <c r="H70" s="6">
        <v>5000</v>
      </c>
      <c r="I70" s="99">
        <f>F70*G70*H70</f>
        <v>1000</v>
      </c>
    </row>
    <row r="71" spans="2:9" x14ac:dyDescent="0.25">
      <c r="B71" s="9"/>
      <c r="C71" s="4"/>
      <c r="D71" s="4" t="s">
        <v>235</v>
      </c>
      <c r="E71" s="5" t="s">
        <v>160</v>
      </c>
      <c r="F71" s="4">
        <v>1</v>
      </c>
      <c r="G71" s="4">
        <v>1</v>
      </c>
      <c r="H71" s="6">
        <v>700</v>
      </c>
      <c r="I71" s="99">
        <f>F71*G71*H71</f>
        <v>700</v>
      </c>
    </row>
    <row r="72" spans="2:9" x14ac:dyDescent="0.25">
      <c r="B72" s="9"/>
      <c r="C72" s="4"/>
      <c r="D72" s="4" t="s">
        <v>50</v>
      </c>
      <c r="E72" s="5" t="s">
        <v>2</v>
      </c>
      <c r="F72" s="4">
        <v>200</v>
      </c>
      <c r="G72" s="71">
        <f>1/10</f>
        <v>0.1</v>
      </c>
      <c r="H72" s="6">
        <v>1000</v>
      </c>
      <c r="I72" s="99">
        <f>F72*G72*H72</f>
        <v>20000</v>
      </c>
    </row>
    <row r="73" spans="2:9" x14ac:dyDescent="0.25">
      <c r="B73" s="9"/>
      <c r="C73" s="4"/>
      <c r="D73" s="4" t="s">
        <v>152</v>
      </c>
      <c r="E73" s="5" t="s">
        <v>159</v>
      </c>
      <c r="F73" s="5" t="s">
        <v>155</v>
      </c>
      <c r="G73" s="71">
        <f>1/10</f>
        <v>0.1</v>
      </c>
      <c r="H73" s="49">
        <f>18000+25000</f>
        <v>43000</v>
      </c>
      <c r="I73" s="99">
        <f>G73*H73</f>
        <v>4300</v>
      </c>
    </row>
    <row r="74" spans="2:9" x14ac:dyDescent="0.25">
      <c r="B74" s="9"/>
      <c r="C74" s="4"/>
      <c r="D74" s="4" t="s">
        <v>153</v>
      </c>
      <c r="E74" s="5" t="s">
        <v>160</v>
      </c>
      <c r="F74" s="4">
        <v>1</v>
      </c>
      <c r="G74" s="71">
        <f>1/30</f>
        <v>3.3333333333333333E-2</v>
      </c>
      <c r="H74" s="6">
        <v>9500</v>
      </c>
      <c r="I74" s="99">
        <f>F74*G74*H74</f>
        <v>316.66666666666669</v>
      </c>
    </row>
    <row r="75" spans="2:9" x14ac:dyDescent="0.25">
      <c r="B75" s="9"/>
      <c r="C75" s="4"/>
      <c r="D75" s="4" t="s">
        <v>151</v>
      </c>
      <c r="E75" s="5" t="s">
        <v>160</v>
      </c>
      <c r="F75" s="4">
        <v>1</v>
      </c>
      <c r="G75" s="71">
        <f>1/40</f>
        <v>2.5000000000000001E-2</v>
      </c>
      <c r="H75" s="6">
        <v>9600</v>
      </c>
      <c r="I75" s="99">
        <f>F75*G75*H75</f>
        <v>240</v>
      </c>
    </row>
    <row r="76" spans="2:9" x14ac:dyDescent="0.25">
      <c r="B76" s="9"/>
      <c r="C76" s="4"/>
      <c r="D76" s="4"/>
      <c r="E76" s="5"/>
      <c r="F76" s="4"/>
      <c r="G76" s="4"/>
      <c r="H76" s="6"/>
      <c r="I76" s="96">
        <f t="shared" ref="I76:I78" si="9">PRODUCT(F76,G76,H76)</f>
        <v>0</v>
      </c>
    </row>
    <row r="77" spans="2:9" x14ac:dyDescent="0.25">
      <c r="B77" s="9"/>
      <c r="C77" s="4"/>
      <c r="D77" s="4"/>
      <c r="E77" s="5"/>
      <c r="F77" s="4"/>
      <c r="G77" s="4"/>
      <c r="H77" s="6"/>
      <c r="I77" s="96">
        <f t="shared" si="9"/>
        <v>0</v>
      </c>
    </row>
    <row r="78" spans="2:9" x14ac:dyDescent="0.25">
      <c r="B78" s="9"/>
      <c r="C78" s="4"/>
      <c r="D78" s="4"/>
      <c r="E78" s="5"/>
      <c r="F78" s="4"/>
      <c r="G78" s="4"/>
      <c r="H78" s="6"/>
      <c r="I78" s="96">
        <f t="shared" si="9"/>
        <v>0</v>
      </c>
    </row>
    <row r="79" spans="2:9" x14ac:dyDescent="0.25">
      <c r="B79" s="229" t="s">
        <v>191</v>
      </c>
      <c r="C79" s="230"/>
      <c r="D79" s="230"/>
      <c r="E79" s="230"/>
      <c r="F79" s="230"/>
      <c r="G79" s="230"/>
      <c r="H79" s="230"/>
      <c r="I79" s="109">
        <f>IF('Simplified calculation tool'!C15="Solar Power feed",SUM('Detailed O&amp;M costs'!I69:I75),SUM(I69:I72))</f>
        <v>28556.666666666668</v>
      </c>
    </row>
    <row r="80" spans="2:9" x14ac:dyDescent="0.25">
      <c r="B80" s="224" t="s">
        <v>250</v>
      </c>
      <c r="C80" s="225"/>
      <c r="D80" s="225"/>
      <c r="E80" s="225"/>
      <c r="F80" s="225"/>
      <c r="G80" s="225"/>
      <c r="H80" s="225"/>
      <c r="I80" s="126">
        <f>(I25+I33+I42+I53+I68+I79)+(5%*(I25+I33+I42+I53+I68+I79))</f>
        <v>75113.850000000006</v>
      </c>
    </row>
    <row r="81" spans="2:9" x14ac:dyDescent="0.25">
      <c r="B81" s="23" t="s">
        <v>130</v>
      </c>
      <c r="C81" s="227" t="s">
        <v>51</v>
      </c>
      <c r="D81" s="227"/>
      <c r="E81" s="227"/>
      <c r="F81" s="227"/>
      <c r="G81" s="227"/>
      <c r="H81" s="227"/>
      <c r="I81" s="228"/>
    </row>
    <row r="82" spans="2:9" x14ac:dyDescent="0.25">
      <c r="B82" s="8" t="s">
        <v>131</v>
      </c>
      <c r="C82" s="4" t="s">
        <v>52</v>
      </c>
      <c r="D82" s="4" t="s">
        <v>53</v>
      </c>
      <c r="E82" s="5" t="s">
        <v>160</v>
      </c>
      <c r="F82" s="4">
        <v>2</v>
      </c>
      <c r="G82" s="71">
        <f>1/2</f>
        <v>0.5</v>
      </c>
      <c r="H82" s="6">
        <v>300</v>
      </c>
      <c r="I82" s="99">
        <f>F82*G82*H82</f>
        <v>300</v>
      </c>
    </row>
    <row r="83" spans="2:9" x14ac:dyDescent="0.25">
      <c r="B83" s="8"/>
      <c r="C83" s="4"/>
      <c r="D83" s="4" t="s">
        <v>54</v>
      </c>
      <c r="E83" s="5" t="s">
        <v>160</v>
      </c>
      <c r="F83" s="4">
        <v>4</v>
      </c>
      <c r="G83" s="4">
        <v>1</v>
      </c>
      <c r="H83" s="6">
        <v>50</v>
      </c>
      <c r="I83" s="99">
        <f>F83*G83*H83</f>
        <v>200</v>
      </c>
    </row>
    <row r="84" spans="2:9" x14ac:dyDescent="0.25">
      <c r="B84" s="8"/>
      <c r="C84" s="4"/>
      <c r="D84" s="4"/>
      <c r="E84" s="5"/>
      <c r="F84" s="4"/>
      <c r="G84" s="4"/>
      <c r="H84" s="6"/>
      <c r="I84" s="96">
        <f t="shared" ref="I84:I86" si="10">PRODUCT(F84,G84,H84)</f>
        <v>0</v>
      </c>
    </row>
    <row r="85" spans="2:9" x14ac:dyDescent="0.25">
      <c r="B85" s="8"/>
      <c r="C85" s="4"/>
      <c r="D85" s="4"/>
      <c r="E85" s="5"/>
      <c r="F85" s="4"/>
      <c r="G85" s="4"/>
      <c r="H85" s="6"/>
      <c r="I85" s="96">
        <f t="shared" si="10"/>
        <v>0</v>
      </c>
    </row>
    <row r="86" spans="2:9" x14ac:dyDescent="0.25">
      <c r="B86" s="8"/>
      <c r="C86" s="4"/>
      <c r="D86" s="4"/>
      <c r="E86" s="5"/>
      <c r="F86" s="4"/>
      <c r="G86" s="4"/>
      <c r="H86" s="6"/>
      <c r="I86" s="96">
        <f t="shared" si="10"/>
        <v>0</v>
      </c>
    </row>
    <row r="87" spans="2:9" x14ac:dyDescent="0.25">
      <c r="B87" s="229" t="s">
        <v>200</v>
      </c>
      <c r="C87" s="230"/>
      <c r="D87" s="230"/>
      <c r="E87" s="230"/>
      <c r="F87" s="230"/>
      <c r="G87" s="230"/>
      <c r="H87" s="230"/>
      <c r="I87" s="109">
        <f>SUM(I82:I86)</f>
        <v>500</v>
      </c>
    </row>
    <row r="88" spans="2:9" x14ac:dyDescent="0.25">
      <c r="B88" s="8" t="s">
        <v>132</v>
      </c>
      <c r="C88" s="4" t="s">
        <v>55</v>
      </c>
      <c r="D88" s="4" t="s">
        <v>56</v>
      </c>
      <c r="E88" s="5" t="s">
        <v>160</v>
      </c>
      <c r="F88" s="4">
        <v>1</v>
      </c>
      <c r="G88" s="4">
        <v>6</v>
      </c>
      <c r="H88" s="6">
        <v>80</v>
      </c>
      <c r="I88" s="99">
        <f>F88*G88*H88</f>
        <v>480</v>
      </c>
    </row>
    <row r="89" spans="2:9" x14ac:dyDescent="0.25">
      <c r="B89" s="9"/>
      <c r="C89" s="4"/>
      <c r="D89" s="4" t="s">
        <v>57</v>
      </c>
      <c r="E89" s="5" t="s">
        <v>160</v>
      </c>
      <c r="F89" s="4">
        <v>1</v>
      </c>
      <c r="G89" s="4">
        <v>5</v>
      </c>
      <c r="H89" s="6">
        <v>200</v>
      </c>
      <c r="I89" s="99">
        <f>F89*G89*H89</f>
        <v>1000</v>
      </c>
    </row>
    <row r="90" spans="2:9" x14ac:dyDescent="0.25">
      <c r="B90" s="9"/>
      <c r="C90" s="4"/>
      <c r="D90" s="4" t="s">
        <v>58</v>
      </c>
      <c r="E90" s="5" t="s">
        <v>160</v>
      </c>
      <c r="F90" s="4">
        <v>1</v>
      </c>
      <c r="G90" s="4">
        <v>3</v>
      </c>
      <c r="H90" s="6">
        <v>200</v>
      </c>
      <c r="I90" s="99">
        <f>F90*G90*H90</f>
        <v>600</v>
      </c>
    </row>
    <row r="91" spans="2:9" x14ac:dyDescent="0.25">
      <c r="B91" s="9"/>
      <c r="C91" s="4"/>
      <c r="D91" s="4"/>
      <c r="E91" s="5"/>
      <c r="F91" s="4"/>
      <c r="G91" s="4"/>
      <c r="H91" s="6"/>
      <c r="I91" s="96">
        <f t="shared" ref="I91:I93" si="11">PRODUCT(F91,G91,H91)</f>
        <v>0</v>
      </c>
    </row>
    <row r="92" spans="2:9" x14ac:dyDescent="0.25">
      <c r="B92" s="9"/>
      <c r="C92" s="4"/>
      <c r="D92" s="4"/>
      <c r="E92" s="5"/>
      <c r="F92" s="4"/>
      <c r="G92" s="4"/>
      <c r="H92" s="6"/>
      <c r="I92" s="96">
        <f t="shared" si="11"/>
        <v>0</v>
      </c>
    </row>
    <row r="93" spans="2:9" x14ac:dyDescent="0.25">
      <c r="B93" s="9"/>
      <c r="C93" s="4"/>
      <c r="D93" s="4"/>
      <c r="E93" s="5"/>
      <c r="F93" s="4"/>
      <c r="G93" s="4"/>
      <c r="H93" s="6"/>
      <c r="I93" s="96">
        <f t="shared" si="11"/>
        <v>0</v>
      </c>
    </row>
    <row r="94" spans="2:9" x14ac:dyDescent="0.25">
      <c r="B94" s="229" t="s">
        <v>201</v>
      </c>
      <c r="C94" s="230"/>
      <c r="D94" s="230"/>
      <c r="E94" s="230"/>
      <c r="F94" s="230"/>
      <c r="G94" s="230"/>
      <c r="H94" s="230"/>
      <c r="I94" s="109">
        <f>SUM(I88:I93)</f>
        <v>2080</v>
      </c>
    </row>
    <row r="95" spans="2:9" x14ac:dyDescent="0.25">
      <c r="B95" s="8" t="s">
        <v>133</v>
      </c>
      <c r="C95" s="4" t="s">
        <v>59</v>
      </c>
      <c r="D95" s="4" t="s">
        <v>60</v>
      </c>
      <c r="E95" s="5" t="s">
        <v>160</v>
      </c>
      <c r="F95" s="4">
        <v>1</v>
      </c>
      <c r="G95" s="4">
        <v>1</v>
      </c>
      <c r="H95" s="6">
        <v>1500</v>
      </c>
      <c r="I95" s="99">
        <f>F95*G95*H95</f>
        <v>1500</v>
      </c>
    </row>
    <row r="96" spans="2:9" x14ac:dyDescent="0.25">
      <c r="B96" s="8"/>
      <c r="C96" s="4"/>
      <c r="D96" s="4" t="s">
        <v>61</v>
      </c>
      <c r="E96" s="5" t="s">
        <v>160</v>
      </c>
      <c r="F96" s="4">
        <v>1</v>
      </c>
      <c r="G96" s="4">
        <v>1</v>
      </c>
      <c r="H96" s="6">
        <v>1500</v>
      </c>
      <c r="I96" s="99">
        <f>F96*G96*H96</f>
        <v>1500</v>
      </c>
    </row>
    <row r="97" spans="2:9" x14ac:dyDescent="0.25">
      <c r="B97" s="8"/>
      <c r="C97" s="4"/>
      <c r="D97" s="4" t="s">
        <v>62</v>
      </c>
      <c r="E97" s="5" t="s">
        <v>160</v>
      </c>
      <c r="F97" s="4">
        <v>2</v>
      </c>
      <c r="G97" s="4">
        <v>1</v>
      </c>
      <c r="H97" s="6">
        <v>2400</v>
      </c>
      <c r="I97" s="99">
        <f>F97*G97*H97</f>
        <v>4800</v>
      </c>
    </row>
    <row r="98" spans="2:9" x14ac:dyDescent="0.25">
      <c r="B98" s="8"/>
      <c r="C98" s="4"/>
      <c r="D98" s="4" t="s">
        <v>63</v>
      </c>
      <c r="E98" s="5" t="s">
        <v>160</v>
      </c>
      <c r="F98" s="4">
        <v>1</v>
      </c>
      <c r="G98" s="4">
        <v>1</v>
      </c>
      <c r="H98" s="6">
        <v>1000</v>
      </c>
      <c r="I98" s="99">
        <f>F98*G98*H98</f>
        <v>1000</v>
      </c>
    </row>
    <row r="99" spans="2:9" x14ac:dyDescent="0.25">
      <c r="B99" s="8"/>
      <c r="C99" s="4"/>
      <c r="D99" s="4"/>
      <c r="E99" s="5"/>
      <c r="F99" s="4"/>
      <c r="G99" s="4"/>
      <c r="H99" s="6"/>
      <c r="I99" s="96">
        <f t="shared" ref="I99:I101" si="12">PRODUCT(F99,G99,H99)</f>
        <v>0</v>
      </c>
    </row>
    <row r="100" spans="2:9" x14ac:dyDescent="0.25">
      <c r="B100" s="8"/>
      <c r="C100" s="4"/>
      <c r="D100" s="4"/>
      <c r="E100" s="5"/>
      <c r="F100" s="4"/>
      <c r="G100" s="4"/>
      <c r="H100" s="6"/>
      <c r="I100" s="96">
        <f t="shared" si="12"/>
        <v>0</v>
      </c>
    </row>
    <row r="101" spans="2:9" x14ac:dyDescent="0.25">
      <c r="B101" s="8"/>
      <c r="C101" s="4"/>
      <c r="D101" s="4"/>
      <c r="E101" s="5"/>
      <c r="F101" s="4"/>
      <c r="G101" s="4"/>
      <c r="H101" s="6"/>
      <c r="I101" s="96">
        <f t="shared" si="12"/>
        <v>0</v>
      </c>
    </row>
    <row r="102" spans="2:9" x14ac:dyDescent="0.25">
      <c r="B102" s="229" t="s">
        <v>202</v>
      </c>
      <c r="C102" s="230"/>
      <c r="D102" s="230"/>
      <c r="E102" s="230"/>
      <c r="F102" s="230"/>
      <c r="G102" s="230"/>
      <c r="H102" s="230"/>
      <c r="I102" s="109">
        <f>SUM(I95:I101)</f>
        <v>8800</v>
      </c>
    </row>
    <row r="103" spans="2:9" ht="45" x14ac:dyDescent="0.25">
      <c r="B103" s="8" t="s">
        <v>134</v>
      </c>
      <c r="C103" s="4" t="s">
        <v>64</v>
      </c>
      <c r="D103" s="14" t="s">
        <v>65</v>
      </c>
      <c r="E103" s="5" t="s">
        <v>160</v>
      </c>
      <c r="F103" s="71">
        <f>8</f>
        <v>8</v>
      </c>
      <c r="G103" s="4">
        <v>48</v>
      </c>
      <c r="H103" s="6">
        <v>5</v>
      </c>
      <c r="I103" s="99">
        <f>F103*G103*H103</f>
        <v>1920</v>
      </c>
    </row>
    <row r="104" spans="2:9" x14ac:dyDescent="0.25">
      <c r="B104" s="8"/>
      <c r="C104" s="4"/>
      <c r="D104" s="14"/>
      <c r="E104" s="5"/>
      <c r="F104" s="4"/>
      <c r="G104" s="4"/>
      <c r="H104" s="6"/>
      <c r="I104" s="96">
        <f t="shared" ref="I104:I106" si="13">PRODUCT(F104,G104,H104)</f>
        <v>0</v>
      </c>
    </row>
    <row r="105" spans="2:9" x14ac:dyDescent="0.25">
      <c r="B105" s="8"/>
      <c r="C105" s="4"/>
      <c r="D105" s="14"/>
      <c r="E105" s="5"/>
      <c r="F105" s="4"/>
      <c r="G105" s="4"/>
      <c r="H105" s="6"/>
      <c r="I105" s="96">
        <f t="shared" si="13"/>
        <v>0</v>
      </c>
    </row>
    <row r="106" spans="2:9" x14ac:dyDescent="0.25">
      <c r="B106" s="8"/>
      <c r="C106" s="4"/>
      <c r="D106" s="14"/>
      <c r="E106" s="5"/>
      <c r="F106" s="4"/>
      <c r="G106" s="4"/>
      <c r="H106" s="6"/>
      <c r="I106" s="96">
        <f t="shared" si="13"/>
        <v>0</v>
      </c>
    </row>
    <row r="107" spans="2:9" x14ac:dyDescent="0.25">
      <c r="B107" s="229" t="s">
        <v>203</v>
      </c>
      <c r="C107" s="230"/>
      <c r="D107" s="230"/>
      <c r="E107" s="230"/>
      <c r="F107" s="230"/>
      <c r="G107" s="230"/>
      <c r="H107" s="230"/>
      <c r="I107" s="109">
        <f>SUM(I103:I106)</f>
        <v>1920</v>
      </c>
    </row>
    <row r="108" spans="2:9" x14ac:dyDescent="0.25">
      <c r="B108" s="8" t="s">
        <v>135</v>
      </c>
      <c r="C108" s="4" t="s">
        <v>66</v>
      </c>
      <c r="D108" s="4" t="s">
        <v>236</v>
      </c>
      <c r="E108" s="5" t="s">
        <v>160</v>
      </c>
      <c r="F108" s="4">
        <v>4</v>
      </c>
      <c r="G108" s="4">
        <v>1</v>
      </c>
      <c r="H108" s="6">
        <v>300</v>
      </c>
      <c r="I108" s="99">
        <f>F108*G108*H108</f>
        <v>1200</v>
      </c>
    </row>
    <row r="109" spans="2:9" ht="30" x14ac:dyDescent="0.25">
      <c r="B109" s="9"/>
      <c r="C109" s="4"/>
      <c r="D109" s="14" t="s">
        <v>67</v>
      </c>
      <c r="E109" s="5" t="s">
        <v>160</v>
      </c>
      <c r="F109" s="4">
        <v>1</v>
      </c>
      <c r="G109" s="4">
        <v>1</v>
      </c>
      <c r="H109" s="6">
        <v>1500</v>
      </c>
      <c r="I109" s="99">
        <f>F109*G109*H109</f>
        <v>1500</v>
      </c>
    </row>
    <row r="110" spans="2:9" x14ac:dyDescent="0.25">
      <c r="B110" s="9"/>
      <c r="C110" s="4"/>
      <c r="D110" s="14"/>
      <c r="E110" s="5"/>
      <c r="F110" s="4"/>
      <c r="G110" s="4"/>
      <c r="H110" s="6"/>
      <c r="I110" s="96">
        <f t="shared" ref="I110:I112" si="14">PRODUCT(F110,G110,H110)</f>
        <v>0</v>
      </c>
    </row>
    <row r="111" spans="2:9" x14ac:dyDescent="0.25">
      <c r="B111" s="9"/>
      <c r="C111" s="4"/>
      <c r="D111" s="14"/>
      <c r="E111" s="5"/>
      <c r="F111" s="4"/>
      <c r="G111" s="4"/>
      <c r="H111" s="6"/>
      <c r="I111" s="96">
        <f t="shared" si="14"/>
        <v>0</v>
      </c>
    </row>
    <row r="112" spans="2:9" x14ac:dyDescent="0.25">
      <c r="B112" s="9"/>
      <c r="C112" s="4"/>
      <c r="D112" s="14"/>
      <c r="E112" s="5"/>
      <c r="F112" s="4"/>
      <c r="G112" s="4"/>
      <c r="H112" s="6"/>
      <c r="I112" s="96">
        <f t="shared" si="14"/>
        <v>0</v>
      </c>
    </row>
    <row r="113" spans="2:9" x14ac:dyDescent="0.25">
      <c r="B113" s="229" t="s">
        <v>204</v>
      </c>
      <c r="C113" s="230"/>
      <c r="D113" s="230"/>
      <c r="E113" s="230"/>
      <c r="F113" s="230"/>
      <c r="G113" s="230"/>
      <c r="H113" s="230"/>
      <c r="I113" s="109">
        <f>SUM(I108:I112)</f>
        <v>2700</v>
      </c>
    </row>
    <row r="114" spans="2:9" x14ac:dyDescent="0.25">
      <c r="B114" s="8" t="s">
        <v>136</v>
      </c>
      <c r="C114" s="4" t="s">
        <v>68</v>
      </c>
      <c r="D114" s="4" t="s">
        <v>69</v>
      </c>
      <c r="E114" s="5" t="s">
        <v>160</v>
      </c>
      <c r="F114" s="4">
        <v>5</v>
      </c>
      <c r="G114" s="4">
        <v>1</v>
      </c>
      <c r="H114" s="6">
        <v>2500</v>
      </c>
      <c r="I114" s="99">
        <f t="shared" ref="I114:I119" si="15">F114*G114*H114</f>
        <v>12500</v>
      </c>
    </row>
    <row r="115" spans="2:9" x14ac:dyDescent="0.25">
      <c r="B115" s="9"/>
      <c r="C115" s="4"/>
      <c r="D115" s="4" t="s">
        <v>70</v>
      </c>
      <c r="E115" s="5" t="s">
        <v>160</v>
      </c>
      <c r="F115" s="4">
        <v>1</v>
      </c>
      <c r="G115" s="71">
        <f>1/10</f>
        <v>0.1</v>
      </c>
      <c r="H115" s="6">
        <v>1000</v>
      </c>
      <c r="I115" s="99">
        <f t="shared" si="15"/>
        <v>100</v>
      </c>
    </row>
    <row r="116" spans="2:9" x14ac:dyDescent="0.25">
      <c r="B116" s="9"/>
      <c r="C116" s="4"/>
      <c r="D116" s="4" t="s">
        <v>71</v>
      </c>
      <c r="E116" s="5" t="s">
        <v>160</v>
      </c>
      <c r="F116" s="4">
        <v>5</v>
      </c>
      <c r="G116" s="71">
        <f>1/5</f>
        <v>0.2</v>
      </c>
      <c r="H116" s="6">
        <v>400</v>
      </c>
      <c r="I116" s="99">
        <f t="shared" si="15"/>
        <v>400</v>
      </c>
    </row>
    <row r="117" spans="2:9" x14ac:dyDescent="0.25">
      <c r="B117" s="9"/>
      <c r="C117" s="4"/>
      <c r="D117" s="4" t="s">
        <v>72</v>
      </c>
      <c r="E117" s="5" t="s">
        <v>160</v>
      </c>
      <c r="F117" s="4">
        <v>10</v>
      </c>
      <c r="G117" s="4">
        <v>1</v>
      </c>
      <c r="H117" s="6">
        <v>50</v>
      </c>
      <c r="I117" s="99">
        <f t="shared" si="15"/>
        <v>500</v>
      </c>
    </row>
    <row r="118" spans="2:9" x14ac:dyDescent="0.25">
      <c r="B118" s="9"/>
      <c r="C118" s="4"/>
      <c r="D118" s="4" t="s">
        <v>73</v>
      </c>
      <c r="E118" s="5" t="s">
        <v>160</v>
      </c>
      <c r="F118" s="4">
        <v>1</v>
      </c>
      <c r="G118" s="114">
        <f>1/3</f>
        <v>0.33333333333333331</v>
      </c>
      <c r="H118" s="6">
        <v>2000</v>
      </c>
      <c r="I118" s="99">
        <f t="shared" si="15"/>
        <v>666.66666666666663</v>
      </c>
    </row>
    <row r="119" spans="2:9" x14ac:dyDescent="0.25">
      <c r="B119" s="9"/>
      <c r="C119" s="4"/>
      <c r="D119" s="4" t="s">
        <v>74</v>
      </c>
      <c r="E119" s="5" t="s">
        <v>160</v>
      </c>
      <c r="F119" s="4">
        <v>1</v>
      </c>
      <c r="G119" s="71">
        <f>1/10</f>
        <v>0.1</v>
      </c>
      <c r="H119" s="6">
        <v>1000</v>
      </c>
      <c r="I119" s="99">
        <f t="shared" si="15"/>
        <v>100</v>
      </c>
    </row>
    <row r="120" spans="2:9" x14ac:dyDescent="0.25">
      <c r="B120" s="9"/>
      <c r="C120" s="4"/>
      <c r="D120" s="4"/>
      <c r="E120" s="5"/>
      <c r="F120" s="4"/>
      <c r="G120" s="4"/>
      <c r="H120" s="6"/>
      <c r="I120" s="96">
        <f t="shared" ref="I120:I122" si="16">PRODUCT(F120,G120,H120)</f>
        <v>0</v>
      </c>
    </row>
    <row r="121" spans="2:9" x14ac:dyDescent="0.25">
      <c r="B121" s="9"/>
      <c r="C121" s="4"/>
      <c r="D121" s="4"/>
      <c r="E121" s="5"/>
      <c r="F121" s="4"/>
      <c r="G121" s="4"/>
      <c r="H121" s="6"/>
      <c r="I121" s="96">
        <f t="shared" si="16"/>
        <v>0</v>
      </c>
    </row>
    <row r="122" spans="2:9" x14ac:dyDescent="0.25">
      <c r="B122" s="9"/>
      <c r="C122" s="4"/>
      <c r="D122" s="4"/>
      <c r="E122" s="5"/>
      <c r="F122" s="4"/>
      <c r="G122" s="4"/>
      <c r="H122" s="6"/>
      <c r="I122" s="96">
        <f t="shared" si="16"/>
        <v>0</v>
      </c>
    </row>
    <row r="123" spans="2:9" x14ac:dyDescent="0.25">
      <c r="B123" s="229" t="s">
        <v>205</v>
      </c>
      <c r="C123" s="230"/>
      <c r="D123" s="230"/>
      <c r="E123" s="230"/>
      <c r="F123" s="230"/>
      <c r="G123" s="230"/>
      <c r="H123" s="230"/>
      <c r="I123" s="109">
        <f>SUM(I114:I122)</f>
        <v>14266.666666666666</v>
      </c>
    </row>
    <row r="124" spans="2:9" x14ac:dyDescent="0.25">
      <c r="B124" s="224" t="s">
        <v>251</v>
      </c>
      <c r="C124" s="225"/>
      <c r="D124" s="225"/>
      <c r="E124" s="225"/>
      <c r="F124" s="225"/>
      <c r="G124" s="225"/>
      <c r="H124" s="225"/>
      <c r="I124" s="98">
        <f>(I87+I94+I102+I107+I113+I123)+(5%*(I87+I94+I102+I107+I113+I123))</f>
        <v>31779.999999999996</v>
      </c>
    </row>
    <row r="125" spans="2:9" x14ac:dyDescent="0.25">
      <c r="B125" s="23" t="s">
        <v>137</v>
      </c>
      <c r="C125" s="227" t="s">
        <v>75</v>
      </c>
      <c r="D125" s="227"/>
      <c r="E125" s="227"/>
      <c r="F125" s="227"/>
      <c r="G125" s="227"/>
      <c r="H125" s="227"/>
      <c r="I125" s="228"/>
    </row>
    <row r="126" spans="2:9" x14ac:dyDescent="0.25">
      <c r="B126" s="8" t="s">
        <v>172</v>
      </c>
      <c r="C126" s="234" t="s">
        <v>180</v>
      </c>
      <c r="D126" s="235"/>
      <c r="E126" s="235"/>
      <c r="F126" s="235"/>
      <c r="G126" s="235"/>
      <c r="H126" s="235"/>
      <c r="I126" s="236"/>
    </row>
    <row r="127" spans="2:9" x14ac:dyDescent="0.25">
      <c r="B127" s="8"/>
      <c r="C127" s="93" t="s">
        <v>92</v>
      </c>
      <c r="D127" s="18"/>
      <c r="E127" s="5" t="s">
        <v>0</v>
      </c>
      <c r="F127" s="5">
        <v>50</v>
      </c>
      <c r="G127" s="17">
        <v>12</v>
      </c>
      <c r="H127" s="11">
        <v>11</v>
      </c>
      <c r="I127" s="100">
        <f>PRODUCT(F127,G127,H127)</f>
        <v>6600</v>
      </c>
    </row>
    <row r="128" spans="2:9" x14ac:dyDescent="0.25">
      <c r="B128" s="9"/>
      <c r="C128" s="20" t="s">
        <v>182</v>
      </c>
      <c r="D128" s="19"/>
      <c r="E128" s="5" t="s">
        <v>0</v>
      </c>
      <c r="F128" s="5">
        <v>50</v>
      </c>
      <c r="G128" s="17">
        <v>12</v>
      </c>
      <c r="H128" s="11">
        <v>0</v>
      </c>
      <c r="I128" s="100">
        <f>PRODUCT(F128,G128,H128)</f>
        <v>0</v>
      </c>
    </row>
    <row r="129" spans="2:11" x14ac:dyDescent="0.25">
      <c r="B129" s="8" t="s">
        <v>173</v>
      </c>
      <c r="C129" s="246" t="s">
        <v>183</v>
      </c>
      <c r="D129" s="247"/>
      <c r="E129" s="5"/>
      <c r="F129" s="5"/>
      <c r="G129" s="17"/>
      <c r="H129" s="11"/>
      <c r="I129" s="100"/>
    </row>
    <row r="130" spans="2:11" x14ac:dyDescent="0.25">
      <c r="B130" s="8"/>
      <c r="C130" s="89" t="s">
        <v>233</v>
      </c>
      <c r="D130" s="90"/>
      <c r="E130" s="21" t="s">
        <v>160</v>
      </c>
      <c r="F130" s="13">
        <v>1</v>
      </c>
      <c r="G130" s="59">
        <f>40*G8/500</f>
        <v>25.6</v>
      </c>
      <c r="H130" s="81">
        <f>'Simplified calculation tool'!C20</f>
        <v>1000</v>
      </c>
      <c r="I130" s="100">
        <f>PRODUCT(F130,G130,H130)</f>
        <v>25600</v>
      </c>
    </row>
    <row r="131" spans="2:11" x14ac:dyDescent="0.25">
      <c r="B131" s="8"/>
      <c r="C131" s="89" t="s">
        <v>184</v>
      </c>
      <c r="D131" s="90"/>
      <c r="E131" s="21" t="s">
        <v>159</v>
      </c>
      <c r="F131" s="13" t="s">
        <v>155</v>
      </c>
      <c r="G131" s="12">
        <v>12</v>
      </c>
      <c r="H131" s="11">
        <v>350</v>
      </c>
      <c r="I131" s="100">
        <f>PRODUCT(F131,G131,H131)</f>
        <v>4200</v>
      </c>
    </row>
    <row r="132" spans="2:11" x14ac:dyDescent="0.25">
      <c r="B132" s="8"/>
      <c r="C132" s="89"/>
      <c r="D132" s="90"/>
      <c r="E132" s="21"/>
      <c r="F132" s="13"/>
      <c r="G132" s="12"/>
      <c r="H132" s="11"/>
      <c r="I132" s="96">
        <f>PRODUCT(F132,G132,H132)</f>
        <v>0</v>
      </c>
      <c r="K132" s="22"/>
    </row>
    <row r="133" spans="2:11" x14ac:dyDescent="0.25">
      <c r="B133" s="8"/>
      <c r="C133" s="89"/>
      <c r="D133" s="90"/>
      <c r="E133" s="21"/>
      <c r="F133" s="13"/>
      <c r="G133" s="12"/>
      <c r="H133" s="11"/>
      <c r="I133" s="96">
        <f t="shared" ref="I133:I134" si="17">PRODUCT(F133,G133,H133)</f>
        <v>0</v>
      </c>
    </row>
    <row r="134" spans="2:11" x14ac:dyDescent="0.25">
      <c r="B134" s="8"/>
      <c r="C134" s="89"/>
      <c r="D134" s="90"/>
      <c r="E134" s="21"/>
      <c r="F134" s="13"/>
      <c r="G134" s="12"/>
      <c r="H134" s="11"/>
      <c r="I134" s="96">
        <f t="shared" si="17"/>
        <v>0</v>
      </c>
    </row>
    <row r="135" spans="2:11" x14ac:dyDescent="0.25">
      <c r="B135" s="237" t="s">
        <v>206</v>
      </c>
      <c r="C135" s="238"/>
      <c r="D135" s="238"/>
      <c r="E135" s="238"/>
      <c r="F135" s="238"/>
      <c r="G135" s="238"/>
      <c r="H135" s="239"/>
      <c r="I135" s="101">
        <f>'Simplified calculation tool'!F15+'Simplified calculation tool'!F18+SUM(I132:I134)</f>
        <v>25600</v>
      </c>
    </row>
    <row r="136" spans="2:11" x14ac:dyDescent="0.25">
      <c r="B136" s="23" t="s">
        <v>138</v>
      </c>
      <c r="C136" s="227" t="s">
        <v>80</v>
      </c>
      <c r="D136" s="227"/>
      <c r="E136" s="227"/>
      <c r="F136" s="227"/>
      <c r="G136" s="227"/>
      <c r="H136" s="227"/>
      <c r="I136" s="228"/>
    </row>
    <row r="137" spans="2:11" ht="17.25" customHeight="1" x14ac:dyDescent="0.25">
      <c r="B137" s="8" t="s">
        <v>139</v>
      </c>
      <c r="C137" s="14" t="s">
        <v>76</v>
      </c>
      <c r="D137" s="4" t="s">
        <v>77</v>
      </c>
      <c r="E137" s="5" t="s">
        <v>160</v>
      </c>
      <c r="F137" s="5">
        <v>1</v>
      </c>
      <c r="G137" s="71">
        <f>1/2</f>
        <v>0.5</v>
      </c>
      <c r="H137" s="6">
        <v>2000</v>
      </c>
      <c r="I137" s="99">
        <f>G137*H137</f>
        <v>1000</v>
      </c>
    </row>
    <row r="138" spans="2:11" ht="45" x14ac:dyDescent="0.25">
      <c r="B138" s="9"/>
      <c r="C138" s="4"/>
      <c r="D138" s="14" t="s">
        <v>78</v>
      </c>
      <c r="E138" s="5" t="s">
        <v>159</v>
      </c>
      <c r="F138" s="5" t="s">
        <v>155</v>
      </c>
      <c r="G138" s="4">
        <v>1</v>
      </c>
      <c r="H138" s="49">
        <f>1000+1000+(5*650)</f>
        <v>5250</v>
      </c>
      <c r="I138" s="99">
        <f>G138*H138</f>
        <v>5250</v>
      </c>
    </row>
    <row r="139" spans="2:11" x14ac:dyDescent="0.25">
      <c r="B139" s="9"/>
      <c r="C139" s="4"/>
      <c r="D139" s="4" t="s">
        <v>79</v>
      </c>
      <c r="E139" s="5" t="s">
        <v>185</v>
      </c>
      <c r="F139" s="5">
        <v>14</v>
      </c>
      <c r="G139" s="4">
        <v>1</v>
      </c>
      <c r="H139" s="6">
        <v>600</v>
      </c>
      <c r="I139" s="99">
        <f>F139*G139*H139</f>
        <v>8400</v>
      </c>
    </row>
    <row r="140" spans="2:11" x14ac:dyDescent="0.25">
      <c r="B140" s="9"/>
      <c r="C140" s="4"/>
      <c r="D140" s="4"/>
      <c r="E140" s="5"/>
      <c r="F140" s="5"/>
      <c r="G140" s="4"/>
      <c r="H140" s="6"/>
      <c r="I140" s="96">
        <f t="shared" ref="I140:I142" si="18">PRODUCT(F140,G140,H140)</f>
        <v>0</v>
      </c>
    </row>
    <row r="141" spans="2:11" x14ac:dyDescent="0.25">
      <c r="B141" s="9"/>
      <c r="C141" s="4"/>
      <c r="D141" s="4"/>
      <c r="E141" s="5"/>
      <c r="F141" s="5"/>
      <c r="G141" s="4"/>
      <c r="H141" s="6"/>
      <c r="I141" s="96">
        <f t="shared" si="18"/>
        <v>0</v>
      </c>
    </row>
    <row r="142" spans="2:11" x14ac:dyDescent="0.25">
      <c r="B142" s="9"/>
      <c r="C142" s="4"/>
      <c r="D142" s="4"/>
      <c r="E142" s="5"/>
      <c r="F142" s="5"/>
      <c r="G142" s="4"/>
      <c r="H142" s="6"/>
      <c r="I142" s="96">
        <f t="shared" si="18"/>
        <v>0</v>
      </c>
    </row>
    <row r="143" spans="2:11" x14ac:dyDescent="0.25">
      <c r="B143" s="237" t="s">
        <v>252</v>
      </c>
      <c r="C143" s="238"/>
      <c r="D143" s="238"/>
      <c r="E143" s="238"/>
      <c r="F143" s="238"/>
      <c r="G143" s="238"/>
      <c r="H143" s="239"/>
      <c r="I143" s="126">
        <f>(SUM(I137:I142))+(5%*(SUM(I137:I142)))</f>
        <v>15382.5</v>
      </c>
    </row>
    <row r="144" spans="2:11" x14ac:dyDescent="0.25">
      <c r="B144" s="23" t="s">
        <v>140</v>
      </c>
      <c r="C144" s="227" t="s">
        <v>179</v>
      </c>
      <c r="D144" s="227"/>
      <c r="E144" s="227"/>
      <c r="F144" s="227"/>
      <c r="G144" s="227"/>
      <c r="H144" s="227"/>
      <c r="I144" s="228"/>
    </row>
    <row r="145" spans="2:9" x14ac:dyDescent="0.25">
      <c r="B145" s="10" t="s">
        <v>141</v>
      </c>
      <c r="C145" s="14" t="s">
        <v>81</v>
      </c>
      <c r="D145" s="4" t="s">
        <v>82</v>
      </c>
      <c r="E145" s="5" t="s">
        <v>160</v>
      </c>
      <c r="F145" s="4">
        <v>1</v>
      </c>
      <c r="G145" s="4">
        <v>2</v>
      </c>
      <c r="H145" s="78">
        <v>4000</v>
      </c>
      <c r="I145" s="99">
        <f>F145*G145*H145</f>
        <v>8000</v>
      </c>
    </row>
    <row r="146" spans="2:9" x14ac:dyDescent="0.25">
      <c r="B146" s="10" t="s">
        <v>142</v>
      </c>
      <c r="C146" s="231" t="s">
        <v>181</v>
      </c>
      <c r="D146" s="232"/>
      <c r="E146" s="232"/>
      <c r="F146" s="232"/>
      <c r="G146" s="232"/>
      <c r="H146" s="232"/>
      <c r="I146" s="233"/>
    </row>
    <row r="147" spans="2:9" x14ac:dyDescent="0.25">
      <c r="B147" s="10"/>
      <c r="C147" s="231" t="s">
        <v>96</v>
      </c>
      <c r="D147" s="248"/>
      <c r="E147" s="5" t="s">
        <v>160</v>
      </c>
      <c r="F147" s="4">
        <v>1</v>
      </c>
      <c r="G147" s="4">
        <v>4</v>
      </c>
      <c r="H147" s="78">
        <f>'Simplified calculation tool'!C28</f>
        <v>15000</v>
      </c>
      <c r="I147" s="99">
        <f>F147*G147*H147</f>
        <v>60000</v>
      </c>
    </row>
    <row r="148" spans="2:9" x14ac:dyDescent="0.25">
      <c r="B148" s="10"/>
      <c r="C148" s="231" t="s">
        <v>95</v>
      </c>
      <c r="D148" s="248"/>
      <c r="E148" s="5" t="s">
        <v>160</v>
      </c>
      <c r="F148" s="4">
        <v>1</v>
      </c>
      <c r="G148" s="4">
        <v>4</v>
      </c>
      <c r="H148" s="78">
        <f>'Simplified calculation tool'!C30</f>
        <v>2000</v>
      </c>
      <c r="I148" s="99">
        <f>F148*G148*H148</f>
        <v>8000</v>
      </c>
    </row>
    <row r="149" spans="2:9" x14ac:dyDescent="0.25">
      <c r="B149" s="10"/>
      <c r="C149" s="91"/>
      <c r="D149" s="92"/>
      <c r="E149" s="5"/>
      <c r="F149" s="4"/>
      <c r="G149" s="4"/>
      <c r="H149" s="6"/>
      <c r="I149" s="96">
        <f t="shared" ref="I149:I151" si="19">PRODUCT(F149,G149,H149)</f>
        <v>0</v>
      </c>
    </row>
    <row r="150" spans="2:9" x14ac:dyDescent="0.25">
      <c r="B150" s="10"/>
      <c r="C150" s="91"/>
      <c r="D150" s="92"/>
      <c r="E150" s="5"/>
      <c r="F150" s="4"/>
      <c r="G150" s="4"/>
      <c r="H150" s="6"/>
      <c r="I150" s="96">
        <f t="shared" si="19"/>
        <v>0</v>
      </c>
    </row>
    <row r="151" spans="2:9" x14ac:dyDescent="0.25">
      <c r="B151" s="10"/>
      <c r="C151" s="91"/>
      <c r="D151" s="92"/>
      <c r="E151" s="5"/>
      <c r="F151" s="4"/>
      <c r="G151" s="4"/>
      <c r="H151" s="6"/>
      <c r="I151" s="96">
        <f t="shared" si="19"/>
        <v>0</v>
      </c>
    </row>
    <row r="152" spans="2:9" x14ac:dyDescent="0.25">
      <c r="B152" s="237" t="s">
        <v>207</v>
      </c>
      <c r="C152" s="238"/>
      <c r="D152" s="238"/>
      <c r="E152" s="238"/>
      <c r="F152" s="238"/>
      <c r="G152" s="238"/>
      <c r="H152" s="239"/>
      <c r="I152" s="98">
        <f>'Simplified calculation tool'!F26+SUM(I149:I151)</f>
        <v>16000</v>
      </c>
    </row>
    <row r="153" spans="2:9" x14ac:dyDescent="0.25">
      <c r="B153" s="23" t="s">
        <v>143</v>
      </c>
      <c r="C153" s="227" t="s">
        <v>6</v>
      </c>
      <c r="D153" s="227"/>
      <c r="E153" s="227"/>
      <c r="F153" s="227"/>
      <c r="G153" s="227"/>
      <c r="H153" s="227"/>
      <c r="I153" s="228"/>
    </row>
    <row r="154" spans="2:9" x14ac:dyDescent="0.25">
      <c r="B154" s="10" t="s">
        <v>144</v>
      </c>
      <c r="C154" s="4"/>
      <c r="D154" s="4" t="s">
        <v>186</v>
      </c>
      <c r="E154" s="5" t="s">
        <v>160</v>
      </c>
      <c r="F154" s="5">
        <v>1</v>
      </c>
      <c r="G154" s="4">
        <v>1</v>
      </c>
      <c r="H154" s="49">
        <f>30000</f>
        <v>30000</v>
      </c>
      <c r="I154" s="99">
        <f>H154</f>
        <v>30000</v>
      </c>
    </row>
    <row r="155" spans="2:9" x14ac:dyDescent="0.25">
      <c r="B155" s="10"/>
      <c r="C155" s="4"/>
      <c r="D155" s="4"/>
      <c r="E155" s="5"/>
      <c r="F155" s="5"/>
      <c r="G155" s="4"/>
      <c r="H155" s="6"/>
      <c r="I155" s="96">
        <f t="shared" ref="I155:I157" si="20">PRODUCT(F155,G155,H155)</f>
        <v>0</v>
      </c>
    </row>
    <row r="156" spans="2:9" x14ac:dyDescent="0.25">
      <c r="B156" s="10"/>
      <c r="C156" s="4"/>
      <c r="D156" s="4"/>
      <c r="E156" s="5"/>
      <c r="F156" s="5"/>
      <c r="G156" s="4"/>
      <c r="H156" s="6"/>
      <c r="I156" s="96">
        <f t="shared" si="20"/>
        <v>0</v>
      </c>
    </row>
    <row r="157" spans="2:9" x14ac:dyDescent="0.25">
      <c r="B157" s="10"/>
      <c r="C157" s="4"/>
      <c r="D157" s="4"/>
      <c r="E157" s="5"/>
      <c r="F157" s="5"/>
      <c r="G157" s="4"/>
      <c r="H157" s="6"/>
      <c r="I157" s="96">
        <f t="shared" si="20"/>
        <v>0</v>
      </c>
    </row>
    <row r="158" spans="2:9" x14ac:dyDescent="0.25">
      <c r="B158" s="237" t="s">
        <v>208</v>
      </c>
      <c r="C158" s="238"/>
      <c r="D158" s="238"/>
      <c r="E158" s="238"/>
      <c r="F158" s="238"/>
      <c r="G158" s="238"/>
      <c r="H158" s="239"/>
      <c r="I158" s="98">
        <f>'Simplified calculation tool'!C33</f>
        <v>100000</v>
      </c>
    </row>
    <row r="159" spans="2:9" ht="8.25" customHeight="1" x14ac:dyDescent="0.25">
      <c r="B159" s="243"/>
      <c r="C159" s="244"/>
      <c r="D159" s="244"/>
      <c r="E159" s="244"/>
      <c r="F159" s="244"/>
      <c r="G159" s="244"/>
      <c r="H159" s="244"/>
      <c r="I159" s="245"/>
    </row>
    <row r="160" spans="2:9" x14ac:dyDescent="0.25">
      <c r="B160" s="240" t="s">
        <v>85</v>
      </c>
      <c r="C160" s="241"/>
      <c r="D160" s="241"/>
      <c r="E160" s="241"/>
      <c r="F160" s="241"/>
      <c r="G160" s="241"/>
      <c r="H160" s="242"/>
      <c r="I160" s="108">
        <f>I13+I80+I124+I135+I143+I152+I158</f>
        <v>670376.35</v>
      </c>
    </row>
  </sheetData>
  <sheetProtection algorithmName="SHA-512" hashValue="stVc4mB+MQVHBsF9wEWr5ywDqtvhxP1uZAF56K7YBVMq0akr/r/f5EYRp/n+ZU+3IQG0CnAOxwllJpwr7oFQ2Q==" saltValue="FN6dNJilYVNjxfaQ2XSWMw==" spinCount="100000" sheet="1" objects="1" scenarios="1"/>
  <mergeCells count="35">
    <mergeCell ref="B160:H160"/>
    <mergeCell ref="B159:I159"/>
    <mergeCell ref="C129:D129"/>
    <mergeCell ref="C147:D147"/>
    <mergeCell ref="C148:D148"/>
    <mergeCell ref="B152:H152"/>
    <mergeCell ref="B158:H158"/>
    <mergeCell ref="C81:I81"/>
    <mergeCell ref="B124:H124"/>
    <mergeCell ref="C153:I153"/>
    <mergeCell ref="C125:I125"/>
    <mergeCell ref="C136:I136"/>
    <mergeCell ref="C144:I144"/>
    <mergeCell ref="C146:I146"/>
    <mergeCell ref="C126:I126"/>
    <mergeCell ref="B87:H87"/>
    <mergeCell ref="B94:H94"/>
    <mergeCell ref="B102:H102"/>
    <mergeCell ref="B107:H107"/>
    <mergeCell ref="B113:H113"/>
    <mergeCell ref="B123:H123"/>
    <mergeCell ref="B135:H135"/>
    <mergeCell ref="B143:H143"/>
    <mergeCell ref="B2:I3"/>
    <mergeCell ref="C7:I7"/>
    <mergeCell ref="B13:H13"/>
    <mergeCell ref="B80:H80"/>
    <mergeCell ref="B5:I5"/>
    <mergeCell ref="C14:I14"/>
    <mergeCell ref="B79:H79"/>
    <mergeCell ref="B25:H25"/>
    <mergeCell ref="B33:H33"/>
    <mergeCell ref="B42:H42"/>
    <mergeCell ref="B53:H53"/>
    <mergeCell ref="B68:H68"/>
  </mergeCells>
  <pageMargins left="0.7" right="0.7" top="0.75" bottom="0.75" header="0.3" footer="0.3"/>
  <pageSetup paperSize="9" scale="37"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Simplified calculation tool</vt:lpstr>
      <vt:lpstr>Calculation Tool</vt:lpstr>
      <vt:lpstr>Detailed O&amp;M costs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Vilovic</dc:creator>
  <cp:lastModifiedBy>Alexandra</cp:lastModifiedBy>
  <cp:lastPrinted>2016-08-12T11:00:40Z</cp:lastPrinted>
  <dcterms:created xsi:type="dcterms:W3CDTF">2014-10-21T08:34:28Z</dcterms:created>
  <dcterms:modified xsi:type="dcterms:W3CDTF">2018-10-22T08:24:37Z</dcterms:modified>
</cp:coreProperties>
</file>